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9045" tabRatio="756"/>
  </bookViews>
  <sheets>
    <sheet name="START" sheetId="6" r:id="rId1"/>
    <sheet name="PLANNED EXPENSES" sheetId="2" r:id="rId2"/>
    <sheet name="ACTUAL EXPENSES" sheetId="3" r:id="rId3"/>
    <sheet name="EXPENSE VARIANCES" sheetId="4" r:id="rId4"/>
    <sheet name="EXPENSE ANALYSIS" sheetId="5" r:id="rId5"/>
  </sheets>
  <definedNames>
    <definedName name="worksheet_title">'PLANNED EXPENSES'!$K$2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<sst xmlns="http://schemas.openxmlformats.org/spreadsheetml/2006/main" count="387" uniqueCount="107">
  <si>
    <t>Detailed Expense Estimates</t>
  </si>
  <si>
    <t>Planned Expenses</t>
  </si>
  <si>
    <t>Jan</t>
  </si>
  <si>
    <t>Feb</t>
  </si>
  <si>
    <t>Mar</t>
  </si>
  <si>
    <t>Apr</t>
  </si>
  <si>
    <t>May</t>
  </si>
  <si>
    <t>Jun</t>
  </si>
  <si>
    <t>Jul</t>
  </si>
  <si>
    <t>Aug</t>
  </si>
  <si>
    <t>Sep</t>
  </si>
  <si>
    <t>Oct</t>
  </si>
  <si>
    <t>Nov</t>
  </si>
  <si>
    <t>Dec</t>
  </si>
  <si>
    <t>YEAR</t>
  </si>
  <si>
    <t>Employee Costs</t>
  </si>
  <si>
    <t>Wages</t>
  </si>
  <si>
    <t>Benefits</t>
  </si>
  <si>
    <t>Subtotal</t>
  </si>
  <si>
    <t>Office Costs</t>
  </si>
  <si>
    <t>Office lease</t>
  </si>
  <si>
    <t>Gas</t>
  </si>
  <si>
    <t>Electric</t>
  </si>
  <si>
    <t>Water</t>
  </si>
  <si>
    <t>Telephone</t>
  </si>
  <si>
    <t>Internet access</t>
  </si>
  <si>
    <t>Office supplies</t>
  </si>
  <si>
    <t>Security</t>
  </si>
  <si>
    <t>Marketing Costs</t>
  </si>
  <si>
    <t>Web site hosting</t>
  </si>
  <si>
    <t>Web site updates</t>
  </si>
  <si>
    <t>Collateral preparation</t>
  </si>
  <si>
    <t>Collateral printing</t>
  </si>
  <si>
    <t>Marketing events</t>
  </si>
  <si>
    <t>Miscellaneous expenses</t>
  </si>
  <si>
    <t>Training/Travel</t>
  </si>
  <si>
    <t>Training classes</t>
  </si>
  <si>
    <t>Training-related travel costs</t>
  </si>
  <si>
    <t>TOTALS</t>
  </si>
  <si>
    <t>Monthly Planned Expenses</t>
  </si>
  <si>
    <t>TOTAL Planned Expenses</t>
  </si>
  <si>
    <t>Actual Expenses</t>
  </si>
  <si>
    <t>Monthly Actual Expenses</t>
  </si>
  <si>
    <t>TOTAL Actual Expenses</t>
  </si>
  <si>
    <t>Expense Variances</t>
  </si>
  <si>
    <t>Expense Category</t>
  </si>
  <si>
    <t>Variance Percentage</t>
  </si>
  <si>
    <t xml:space="preserve"> </t>
  </si>
  <si>
    <t>Shaded cells are calculations.</t>
  </si>
  <si>
    <t>Company Name</t>
  </si>
  <si>
    <t>PLANNED EXPENSES</t>
  </si>
  <si>
    <t>JAN</t>
  </si>
  <si>
    <t>FEB</t>
  </si>
  <si>
    <t>MAR</t>
  </si>
  <si>
    <t>APR</t>
  </si>
  <si>
    <t>MAY</t>
  </si>
  <si>
    <t>JUN</t>
  </si>
  <si>
    <t>JUL</t>
  </si>
  <si>
    <t>AUG</t>
  </si>
  <si>
    <t>SEPT</t>
  </si>
  <si>
    <t>OCT</t>
  </si>
  <si>
    <t>NOV</t>
  </si>
  <si>
    <t>DEC</t>
  </si>
  <si>
    <t>ACTUAL EXPENSES</t>
  </si>
  <si>
    <t>EXPENSE VARIANCES</t>
  </si>
  <si>
    <t>Year</t>
  </si>
  <si>
    <t>Logo placeholder is in this cell.</t>
  </si>
  <si>
    <t>ABOUT THIS TEMPLATE</t>
  </si>
  <si>
    <t>Use this Business Expense Budget workbook to track Planned and Actual Expenses and Variances.</t>
  </si>
  <si>
    <t>Fill in Company Name and add Logo.</t>
  </si>
  <si>
    <t>Enter details in tables in Planned Expenses worksheet and Actual Expenses worksheet.</t>
  </si>
  <si>
    <t>Tables are auto updated in Expense Variances worksheet and charts in Expense Analysis worksheet</t>
  </si>
  <si>
    <t>Note: </t>
  </si>
  <si>
    <t>Additional instructions have been provided in column A in each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</si>
  <si>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</si>
  <si>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Enter Planned Employee Costs, Office Costs, Marketing Costs, and Training or Travel Cost in respective tables in this worksheet. Totals are auto calculated. Helpful instructions on how to use this worksheet are in cells in this column. Arrow down to get started.</t>
  </si>
  <si>
    <t>Enter Company Name in cell at right and Logo in cell N2. Title of this worksheet is in cell K2.</t>
  </si>
  <si>
    <t>Enter Actual Employee Costs, Office Costs, Marketing Costs, and Training or Travel Cost in respective tables in this worksheet. Totals are auto calculated. Helpful instructions on how to use this worksheet are in cells in this column. Arrow down to get started.</t>
  </si>
  <si>
    <t>Company Name is auto updated in cell at right. Title of this worksheet is in cell K2. Enter Logo in cell N2.</t>
  </si>
  <si>
    <t xml:space="preserve">Annual Planned and Actual Expenses, Expense Variances, and Variance Percentage are auto updated for each Expense Category in this worksheet. Helpful instructions on how to use this worksheet are in cells in this column. Arrow down to get started. </t>
  </si>
  <si>
    <t>Pie chart showing planned expenses on various categories is in this cell.</t>
  </si>
  <si>
    <t>Planned Expenses, Actual Expenses, Expense Variance, and Variance Percentage are auto calculated in Analysis table starting in cell at right. Next instruction is in cell A12.</t>
  </si>
  <si>
    <t>Tip: HOW TO USE THIS TEMPLATE
Input data in the white cells on the PLANNED EXPENSES and ACTUAL EXPENSES worksheets, and the EXPENSE VARIANCES and EXPENSE ANALYSIS will be calculated for you.  If you add a row on one sheet, the other sheets need to match.</t>
  </si>
  <si>
    <t>Tip is in cell K3.</t>
  </si>
  <si>
    <t>Planned Expenses label is in cell at right, months in cells C4 through N4, Year label in O4, and How to use this template instructions in cell R4.</t>
  </si>
  <si>
    <t>Enter Employee Costs in Employee Plan table starting in cell at right. Next instruction is in cell A10.</t>
  </si>
  <si>
    <t>Enter Office Costs in Office Plan table starting in cell at right. Next instruction is in cell A21.</t>
  </si>
  <si>
    <t>Enter Marketing Costs in Marketing Plan table starting in cell at right. Next instruction is in cell A30.</t>
  </si>
  <si>
    <t>Totals are auto calculated in Planned Total table starting in cell at right.</t>
  </si>
  <si>
    <t>Enter Training and Travel Costs in Training and Travel Plan table starting in cell at right. Next instruction is in cell A35.</t>
  </si>
  <si>
    <t>Actual Expenses label is in cell at right, months in cells C4 through N4, and Year label in O4.</t>
  </si>
  <si>
    <t>Enter Employee Costs in Employee Actual table starting in cell at right. Next instruction is in cell A10.</t>
  </si>
  <si>
    <t>Enter Office Costs in Office Actual table starting in cell at right. Next instruction is in cell A21.</t>
  </si>
  <si>
    <t>Enter Marketing Costs in Marketing Actual table starting in cell at right. Next instruction is in cell A30.</t>
  </si>
  <si>
    <t>Enter Training or Travel Costs in Training and Travel Actual table starting in cell at right. Next instruction is in cell A35.</t>
  </si>
  <si>
    <t>Total Actual Expenses are auto calculated in Total Actual table starting in cell at right.</t>
  </si>
  <si>
    <t>Expense Variance are auto calculated in this worksheet for Employee Costs, Office Costs, Marketing Costs, and Training or Travel Cost in respective tables in this worksheet. Helpful instructions on how to use this worksheet are in cells in this column. Arrow down to get started.</t>
  </si>
  <si>
    <t>Expense Variances label is in cell at right, months in cells C4 through N4, and Year label in O4.</t>
  </si>
  <si>
    <t>Variance in Employee Costs is auto calculated in Employee Variances table starting in cell at right. Next instruction is in cell A10.</t>
  </si>
  <si>
    <t>Variance in Office Costs is auto calculated in Office Variances table starting in cell at right. Next instruction is in cell A21.</t>
  </si>
  <si>
    <t>Variance in Marketing Costs is auto calculated in Marketing Variances table starting in cell at right. Next instruction is in cell A30.</t>
  </si>
  <si>
    <t>Variance in Training or Travel Costs is auto calculated in Training and Travel Variances table starting in cell at right. Next instruction is in cell A35.</t>
  </si>
  <si>
    <t>Expense Variances are auto calculated in Total Variance table starting in cell at right.</t>
  </si>
  <si>
    <t>Title of this worksheet is in cell E3. Next instruction is in cell A5.</t>
  </si>
  <si>
    <t>Company Name is auto updated in cell at right. Enter Logo in cell F2.</t>
  </si>
  <si>
    <t>Planned Expenses pie chart is in cell at right and Actual Expenses pie chart in cell D12. Next instruction is in cell A14.</t>
  </si>
  <si>
    <t>Chart showing Planned, Actual, and Variance in Monthly Expenses is in cell at right.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</si>
</sst>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_(&quot;$&quot;* #,##0_);_(&quot;$&quot;* \(#,##0\);_(&quot;$&quot;* &quot;-&quot;??_);_(@_)"/>
  </numFmts>
  <fonts count="40" x14ac:knownFonts="1">
    <font>
      <sz val="9"/>
      <color theme="1" tint="0.2499465926084170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s>
  <fills count="14">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33">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s>
  <cellStyleXfs count="6">
    <xf numFmtId="0" fontId="0" fillId="10" borderId="0"/>
    <xf numFmtId="0" fontId="7" fillId="0" borderId="0" applyNumberFormat="0" applyFill="0" applyProtection="0">
      <alignment vertical="center"/>
    </xf>
    <xf numFmtId="0" fontId="16" fillId="4" borderId="0" applyNumberFormat="0" applyProtection="0">
      <alignment vertical="center"/>
    </xf>
    <xf numFmtId="0" fontId="9" fillId="2" borderId="0" applyNumberFormat="0" applyProtection="0">
      <alignment vertical="center"/>
    </xf>
    <xf numFmtId="0" fontId="8" fillId="3" borderId="1" applyNumberFormat="0" applyProtection="0">
      <alignment horizontal="left" vertical="center" indent="1"/>
    </xf>
    <xf numFmtId="0" fontId="11" fillId="0" borderId="0" applyNumberFormat="0" applyFill="0" applyBorder="0" applyAlignment="0" applyProtection="0"/>
  </cellStyleXfs>
  <cellXfs count="135">
    <xf numFmtId="0" fontId="0" fillId="10" borderId="0" xfId="0"/>
    <xf numFmtId="0" fontId="1" fillId="10" borderId="0" xfId="0" applyFont="1"/>
    <xf numFmtId="0" fontId="3" fillId="10" borderId="0" xfId="0" applyFont="1"/>
    <xf numFmtId="37" fontId="3" fillId="10" borderId="0" xfId="0" applyNumberFormat="1" applyFont="1" applyAlignment="1">
      <alignment horizontal="right"/>
    </xf>
    <xf numFmtId="37" fontId="5" fillId="10" borderId="0" xfId="0" applyNumberFormat="1" applyFont="1" applyAlignment="1">
      <alignment horizontal="right"/>
    </xf>
    <xf numFmtId="37" fontId="6" fillId="10" borderId="0" xfId="0" applyNumberFormat="1" applyFont="1" applyAlignment="1">
      <alignment horizontal="right"/>
    </xf>
    <xf numFmtId="8" fontId="0" fillId="10" borderId="0" xfId="0" applyNumberFormat="1" applyAlignment="1">
      <alignment horizontal="right"/>
    </xf>
    <xf numFmtId="9" fontId="0" fillId="10" borderId="0" xfId="0" applyNumberFormat="1" applyAlignment="1">
      <alignment horizontal="right"/>
    </xf>
    <xf numFmtId="0" fontId="1" fillId="4" borderId="0" xfId="0" applyFont="1" applyFill="1" applyAlignment="1">
      <alignment horizontal="left" vertical="top" indent="1"/>
    </xf>
    <xf numFmtId="0" fontId="2" fillId="4" borderId="0" xfId="0" applyFont="1" applyFill="1" applyAlignment="1">
      <alignment horizontal="left" vertical="top" indent="1"/>
    </xf>
    <xf numFmtId="0" fontId="4" fillId="4" borderId="0" xfId="0" applyFont="1" applyFill="1" applyAlignment="1">
      <alignment horizontal="left" vertical="top" indent="1"/>
    </xf>
    <xf numFmtId="0" fontId="1" fillId="8" borderId="0" xfId="0" applyFont="1" applyFill="1" applyAlignment="1">
      <alignment horizontal="left" vertical="top" indent="1"/>
    </xf>
    <xf numFmtId="164" fontId="2" fillId="8" borderId="0" xfId="0" applyNumberFormat="1" applyFont="1" applyFill="1" applyAlignment="1">
      <alignment horizontal="left" vertical="top" indent="1"/>
    </xf>
    <xf numFmtId="164" fontId="4" fillId="8" borderId="0" xfId="0" applyNumberFormat="1" applyFont="1" applyFill="1" applyAlignment="1">
      <alignment horizontal="left" vertical="top" indent="1"/>
    </xf>
    <xf numFmtId="0" fontId="21" fillId="10" borderId="0" xfId="0" applyFont="1"/>
    <xf numFmtId="8" fontId="14" fillId="11" borderId="5" xfId="0" applyNumberFormat="1" applyFont="1" applyFill="1" applyBorder="1" applyAlignment="1">
      <alignment horizontal="right" vertical="center"/>
    </xf>
    <xf numFmtId="8" fontId="14" fillId="11" borderId="2" xfId="0" applyNumberFormat="1" applyFont="1" applyFill="1" applyBorder="1" applyAlignment="1">
      <alignment horizontal="right" vertical="center"/>
    </xf>
    <xf numFmtId="0" fontId="20" fillId="9" borderId="0" xfId="3" applyFont="1" applyFill="1" applyAlignment="1">
      <alignment horizontal="left" vertical="center" indent="1"/>
    </xf>
    <xf numFmtId="0" fontId="15" fillId="4" borderId="5" xfId="0" applyFont="1" applyFill="1" applyBorder="1" applyAlignment="1">
      <alignment horizontal="left" vertical="center" indent="1"/>
    </xf>
    <xf numFmtId="0" fontId="3" fillId="10" borderId="4" xfId="0" applyFont="1" applyBorder="1"/>
    <xf numFmtId="8" fontId="14" fillId="11" borderId="2" xfId="0" applyNumberFormat="1" applyFont="1" applyFill="1" applyBorder="1" applyAlignment="1">
      <alignment horizontal="right"/>
    </xf>
    <xf numFmtId="8" fontId="25" fillId="11" borderId="2" xfId="0" applyNumberFormat="1" applyFont="1" applyFill="1" applyBorder="1" applyAlignment="1">
      <alignment horizontal="right"/>
    </xf>
    <xf numFmtId="0" fontId="16" fillId="4" borderId="0" xfId="2" applyAlignment="1"/>
    <xf numFmtId="0" fontId="9" fillId="6" borderId="0" xfId="3" applyFill="1" applyAlignment="1">
      <alignment horizontal="left" vertical="center" indent="2"/>
    </xf>
    <xf numFmtId="0" fontId="9" fillId="5" borderId="0" xfId="3" applyFill="1" applyAlignment="1">
      <alignment horizontal="left" vertical="center" indent="2"/>
    </xf>
    <xf numFmtId="0" fontId="9" fillId="7" borderId="0" xfId="3" applyFill="1" applyAlignment="1">
      <alignment horizontal="left" vertical="center" indent="2"/>
    </xf>
    <xf numFmtId="0" fontId="9" fillId="4" borderId="0" xfId="3" applyFill="1" applyAlignment="1">
      <alignment horizontal="left" vertical="center" indent="2"/>
    </xf>
    <xf numFmtId="0" fontId="0" fillId="11" borderId="2" xfId="0" applyFill="1" applyBorder="1" applyAlignment="1">
      <alignment horizontal="left" vertical="center" indent="2"/>
    </xf>
    <xf numFmtId="8" fontId="0" fillId="11" borderId="2" xfId="0" applyNumberFormat="1" applyFill="1" applyBorder="1" applyAlignment="1">
      <alignment horizontal="right" vertical="center" indent="2"/>
    </xf>
    <xf numFmtId="9" fontId="0" fillId="11" borderId="2" xfId="0" applyNumberFormat="1" applyFill="1" applyBorder="1" applyAlignment="1">
      <alignment horizontal="right" vertical="center" indent="2"/>
    </xf>
    <xf numFmtId="0" fontId="22" fillId="12" borderId="0" xfId="3" applyFont="1" applyFill="1" applyAlignment="1">
      <alignment horizontal="left"/>
    </xf>
    <xf numFmtId="0" fontId="22" fillId="12" borderId="0" xfId="3" applyFont="1" applyFill="1" applyAlignment="1">
      <alignment horizontal="center"/>
    </xf>
    <xf numFmtId="164" fontId="22" fillId="12" borderId="0" xfId="3" applyNumberFormat="1" applyFont="1" applyFill="1" applyAlignment="1">
      <alignment horizontal="center"/>
    </xf>
    <xf numFmtId="0" fontId="10" fillId="9" borderId="3" xfId="3" applyFont="1" applyFill="1" applyBorder="1" applyAlignment="1">
      <alignment horizontal="left" vertical="center" indent="1"/>
    </xf>
    <xf numFmtId="0" fontId="15" fillId="4" borderId="7" xfId="0" applyFont="1" applyFill="1" applyBorder="1" applyAlignment="1">
      <alignment horizontal="left" vertical="center" indent="1"/>
    </xf>
    <xf numFmtId="0" fontId="27" fillId="9" borderId="3" xfId="3" applyFont="1" applyFill="1" applyBorder="1">
      <alignment vertical="center"/>
    </xf>
    <xf numFmtId="0" fontId="19" fillId="10" borderId="0" xfId="0" applyFont="1" applyAlignment="1">
      <alignment wrapText="1"/>
    </xf>
    <xf numFmtId="0" fontId="20" fillId="9" borderId="3" xfId="3" applyFont="1" applyFill="1" applyBorder="1" applyAlignment="1">
      <alignment horizontal="left" vertical="center" indent="1"/>
    </xf>
    <xf numFmtId="8" fontId="14" fillId="11" borderId="8" xfId="0" applyNumberFormat="1" applyFont="1" applyFill="1" applyBorder="1" applyAlignment="1">
      <alignment horizontal="right"/>
    </xf>
    <xf numFmtId="8" fontId="14" fillId="11" borderId="5" xfId="0" applyNumberFormat="1" applyFont="1" applyFill="1" applyBorder="1" applyAlignment="1">
      <alignment horizontal="right"/>
    </xf>
    <xf numFmtId="0" fontId="29" fillId="9" borderId="0" xfId="3" applyFont="1" applyFill="1">
      <alignment vertical="center"/>
    </xf>
    <xf numFmtId="8" fontId="25" fillId="11" borderId="8" xfId="0" applyNumberFormat="1" applyFont="1" applyFill="1" applyBorder="1" applyAlignment="1">
      <alignment horizontal="right"/>
    </xf>
    <xf numFmtId="0" fontId="0" fillId="10" borderId="0" xfId="0" applyAlignment="1">
      <alignment vertical="center"/>
    </xf>
    <xf numFmtId="0" fontId="31" fillId="8" borderId="0" xfId="2" applyFont="1" applyFill="1" applyAlignment="1">
      <alignment horizontal="center" vertical="center"/>
    </xf>
    <xf numFmtId="0" fontId="32" fillId="8" borderId="0" xfId="0" applyFont="1" applyFill="1" applyAlignment="1">
      <alignment horizontal="left" vertical="top" indent="1"/>
    </xf>
    <xf numFmtId="0" fontId="33" fillId="10" borderId="0" xfId="0" applyFont="1"/>
    <xf numFmtId="0" fontId="32" fillId="8" borderId="0" xfId="0" applyFont="1" applyFill="1" applyAlignment="1">
      <alignment horizontal="left" vertical="top" wrapText="1" indent="1"/>
    </xf>
    <xf numFmtId="0" fontId="32" fillId="8" borderId="0" xfId="0" applyFont="1" applyFill="1" applyAlignment="1">
      <alignment horizontal="left" vertical="top" wrapText="1"/>
    </xf>
    <xf numFmtId="0" fontId="33" fillId="10" borderId="0" xfId="0" applyFont="1" applyAlignment="1">
      <alignment wrapText="1"/>
    </xf>
    <xf numFmtId="0" fontId="34" fillId="10" borderId="0" xfId="0" applyFont="1" applyAlignment="1">
      <alignment vertical="center" wrapText="1"/>
    </xf>
    <xf numFmtId="0" fontId="1" fillId="10" borderId="0" xfId="0" applyFont="1" applyAlignment="1">
      <alignment wrapText="1"/>
    </xf>
    <xf numFmtId="0" fontId="0" fillId="11" borderId="5" xfId="0" applyFill="1" applyBorder="1" applyAlignment="1">
      <alignment horizontal="left" vertical="center" indent="2"/>
    </xf>
    <xf numFmtId="8" fontId="0" fillId="11" borderId="5" xfId="0" applyNumberFormat="1" applyFill="1" applyBorder="1" applyAlignment="1">
      <alignment horizontal="right" vertical="center" indent="2"/>
    </xf>
    <xf numFmtId="9" fontId="0" fillId="11" borderId="5" xfId="0" applyNumberFormat="1" applyFill="1" applyBorder="1" applyAlignment="1">
      <alignment horizontal="right" vertical="center" indent="2"/>
    </xf>
    <xf numFmtId="0" fontId="33" fillId="10" borderId="6" xfId="0" applyFont="1" applyBorder="1"/>
    <xf numFmtId="0" fontId="35" fillId="10" borderId="0" xfId="0" applyFont="1" applyAlignment="1">
      <alignment vertical="center" wrapText="1"/>
    </xf>
    <xf numFmtId="0" fontId="35" fillId="10" borderId="0" xfId="0" applyFont="1" applyAlignment="1">
      <alignment wrapText="1"/>
    </xf>
    <xf numFmtId="0" fontId="36" fillId="10" borderId="0" xfId="0" applyFont="1" applyAlignment="1">
      <alignment vertical="center" wrapText="1"/>
    </xf>
    <xf numFmtId="0" fontId="23" fillId="6" borderId="9" xfId="4" applyFont="1" applyFill="1" applyBorder="1">
      <alignment horizontal="left" vertical="center" indent="1"/>
    </xf>
    <xf numFmtId="0" fontId="15" fillId="4" borderId="10" xfId="0" applyFont="1" applyFill="1" applyBorder="1" applyAlignment="1">
      <alignment horizontal="left" vertical="center" indent="1"/>
    </xf>
    <xf numFmtId="0" fontId="5" fillId="11" borderId="12" xfId="0" applyFont="1" applyFill="1" applyBorder="1" applyAlignment="1">
      <alignment horizontal="left" vertical="center" indent="1"/>
    </xf>
    <xf numFmtId="8" fontId="13" fillId="13" borderId="13" xfId="0" applyNumberFormat="1" applyFont="1" applyFill="1" applyBorder="1" applyAlignment="1">
      <alignment horizontal="right" vertical="center"/>
    </xf>
    <xf numFmtId="0" fontId="5" fillId="11" borderId="12" xfId="0" applyFont="1" applyFill="1" applyBorder="1" applyAlignment="1">
      <alignment horizontal="left" vertical="center" indent="2"/>
    </xf>
    <xf numFmtId="0" fontId="23" fillId="5" borderId="14" xfId="4" applyFont="1" applyFill="1" applyBorder="1">
      <alignment horizontal="left" vertical="center" indent="1"/>
    </xf>
    <xf numFmtId="0" fontId="19" fillId="12" borderId="15" xfId="4" applyFont="1" applyFill="1" applyBorder="1">
      <alignment horizontal="left" vertical="center" indent="1"/>
    </xf>
    <xf numFmtId="164" fontId="19" fillId="12" borderId="15" xfId="4" applyNumberFormat="1" applyFont="1" applyFill="1" applyBorder="1">
      <alignment horizontal="left" vertical="center" indent="1"/>
    </xf>
    <xf numFmtId="0" fontId="19" fillId="12" borderId="16" xfId="4" applyFont="1" applyFill="1" applyBorder="1">
      <alignment horizontal="left" vertical="center" indent="1"/>
    </xf>
    <xf numFmtId="8" fontId="13" fillId="11" borderId="20" xfId="0" applyNumberFormat="1" applyFont="1" applyFill="1" applyBorder="1" applyAlignment="1">
      <alignment horizontal="right" vertical="center"/>
    </xf>
    <xf numFmtId="8" fontId="13" fillId="13" borderId="17" xfId="0" applyNumberFormat="1" applyFont="1" applyFill="1" applyBorder="1" applyAlignment="1">
      <alignment horizontal="right" vertical="center"/>
    </xf>
    <xf numFmtId="8" fontId="13" fillId="11" borderId="19" xfId="0" applyNumberFormat="1" applyFont="1" applyFill="1" applyBorder="1" applyAlignment="1">
      <alignment horizontal="right" vertical="center"/>
    </xf>
    <xf numFmtId="0" fontId="23" fillId="5" borderId="9" xfId="4" applyFont="1" applyFill="1" applyBorder="1">
      <alignment horizontal="left" vertical="center" indent="1"/>
    </xf>
    <xf numFmtId="0" fontId="19" fillId="12" borderId="22" xfId="4" applyFont="1" applyFill="1" applyBorder="1">
      <alignment horizontal="left" vertical="center" indent="1"/>
    </xf>
    <xf numFmtId="0" fontId="19" fillId="12" borderId="23" xfId="4" applyFont="1" applyFill="1" applyBorder="1">
      <alignment horizontal="left" vertical="center" indent="1"/>
    </xf>
    <xf numFmtId="164" fontId="19" fillId="12" borderId="23" xfId="4" applyNumberFormat="1" applyFont="1" applyFill="1" applyBorder="1">
      <alignment horizontal="left" vertical="center" indent="1"/>
    </xf>
    <xf numFmtId="0" fontId="19" fillId="12" borderId="24" xfId="4" applyFont="1" applyFill="1" applyBorder="1">
      <alignment horizontal="left" vertical="center" indent="1"/>
    </xf>
    <xf numFmtId="0" fontId="23" fillId="5" borderId="25" xfId="4" applyFont="1" applyFill="1" applyBorder="1">
      <alignment horizontal="left" vertical="center" indent="1"/>
    </xf>
    <xf numFmtId="8" fontId="13" fillId="11" borderId="27" xfId="0" applyNumberFormat="1" applyFont="1" applyFill="1" applyBorder="1" applyAlignment="1">
      <alignment horizontal="right" vertical="center"/>
    </xf>
    <xf numFmtId="8" fontId="13" fillId="11" borderId="28" xfId="0" applyNumberFormat="1" applyFont="1" applyFill="1" applyBorder="1" applyAlignment="1">
      <alignment horizontal="right" vertical="center"/>
    </xf>
    <xf numFmtId="8" fontId="13" fillId="11" borderId="29" xfId="0" applyNumberFormat="1" applyFont="1" applyFill="1" applyBorder="1" applyAlignment="1">
      <alignment horizontal="right" vertical="center"/>
    </xf>
    <xf numFmtId="8" fontId="13" fillId="11" borderId="18" xfId="0" applyNumberFormat="1" applyFont="1" applyFill="1" applyBorder="1" applyAlignment="1">
      <alignment horizontal="right" vertical="center"/>
    </xf>
    <xf numFmtId="0" fontId="23" fillId="7" borderId="14" xfId="4" applyFont="1" applyFill="1" applyBorder="1">
      <alignment horizontal="left" vertical="center" indent="1"/>
    </xf>
    <xf numFmtId="8" fontId="0" fillId="13" borderId="13" xfId="0" applyNumberFormat="1" applyFill="1" applyBorder="1" applyAlignment="1">
      <alignment horizontal="right" vertical="center"/>
    </xf>
    <xf numFmtId="8" fontId="0" fillId="13" borderId="17" xfId="0" applyNumberFormat="1" applyFill="1" applyBorder="1" applyAlignment="1">
      <alignment horizontal="right" vertical="center"/>
    </xf>
    <xf numFmtId="8" fontId="13" fillId="11" borderId="21" xfId="0" applyNumberFormat="1" applyFont="1" applyFill="1" applyBorder="1" applyAlignment="1">
      <alignment horizontal="right" vertical="center"/>
    </xf>
    <xf numFmtId="0" fontId="23" fillId="6" borderId="14" xfId="4" applyFont="1" applyFill="1" applyBorder="1">
      <alignment horizontal="left" vertical="center" indent="1"/>
    </xf>
    <xf numFmtId="8" fontId="0" fillId="11" borderId="20" xfId="0" applyNumberFormat="1" applyFill="1" applyBorder="1" applyAlignment="1">
      <alignment horizontal="right" vertical="center"/>
    </xf>
    <xf numFmtId="8" fontId="0" fillId="11" borderId="21" xfId="0" applyNumberFormat="1" applyFill="1" applyBorder="1" applyAlignment="1">
      <alignment horizontal="right" vertical="center"/>
    </xf>
    <xf numFmtId="8" fontId="0" fillId="11" borderId="18" xfId="0" applyNumberFormat="1" applyFill="1" applyBorder="1" applyAlignment="1">
      <alignment horizontal="right" vertical="center"/>
    </xf>
    <xf numFmtId="8" fontId="0" fillId="11" borderId="19" xfId="0" applyNumberFormat="1" applyFill="1" applyBorder="1" applyAlignment="1">
      <alignment horizontal="right" vertical="center"/>
    </xf>
    <xf numFmtId="0" fontId="19" fillId="12" borderId="15" xfId="4" applyFont="1" applyFill="1" applyBorder="1" applyAlignment="1">
      <alignment horizontal="center" vertical="center"/>
    </xf>
    <xf numFmtId="164" fontId="19" fillId="12" borderId="15" xfId="4" applyNumberFormat="1" applyFont="1" applyFill="1" applyBorder="1" applyAlignment="1">
      <alignment horizontal="center" vertical="center"/>
    </xf>
    <xf numFmtId="0" fontId="19" fillId="12" borderId="16" xfId="4" applyFont="1" applyFill="1" applyBorder="1" applyAlignment="1">
      <alignment horizontal="center" vertical="center"/>
    </xf>
    <xf numFmtId="0" fontId="19" fillId="12" borderId="14" xfId="4" applyFont="1" applyFill="1" applyBorder="1" applyAlignment="1">
      <alignment horizontal="center" vertical="center"/>
    </xf>
    <xf numFmtId="0" fontId="5" fillId="11" borderId="30" xfId="0" applyFont="1" applyFill="1" applyBorder="1" applyAlignment="1">
      <alignment horizontal="left" vertical="center" indent="2"/>
    </xf>
    <xf numFmtId="0" fontId="39" fillId="4" borderId="0" xfId="0" applyFont="1" applyFill="1" applyAlignment="1">
      <alignment horizontal="left" vertical="top" indent="1"/>
    </xf>
    <xf numFmtId="0" fontId="15" fillId="4" borderId="17" xfId="0" applyFont="1" applyFill="1" applyBorder="1" applyAlignment="1">
      <alignment horizontal="left" vertical="center" indent="1"/>
    </xf>
    <xf numFmtId="0" fontId="26" fillId="11" borderId="19" xfId="0" applyFont="1" applyFill="1" applyBorder="1" applyAlignment="1">
      <alignment horizontal="left" vertical="center" indent="1"/>
    </xf>
    <xf numFmtId="8" fontId="0" fillId="11" borderId="20" xfId="0" applyNumberFormat="1" applyFill="1" applyBorder="1" applyAlignment="1">
      <alignment vertical="center"/>
    </xf>
    <xf numFmtId="0" fontId="19" fillId="12" borderId="14" xfId="4" applyFont="1" applyFill="1" applyBorder="1">
      <alignment horizontal="left" vertical="center" indent="1"/>
    </xf>
    <xf numFmtId="8" fontId="0" fillId="11" borderId="19" xfId="0" applyNumberFormat="1" applyFill="1" applyBorder="1" applyAlignment="1">
      <alignment vertical="center"/>
    </xf>
    <xf numFmtId="0" fontId="26" fillId="11" borderId="11" xfId="0" applyFont="1" applyFill="1" applyBorder="1" applyAlignment="1">
      <alignment horizontal="left" vertical="center" indent="1"/>
    </xf>
    <xf numFmtId="8" fontId="0" fillId="11" borderId="21" xfId="0" applyNumberFormat="1" applyFill="1" applyBorder="1" applyAlignment="1">
      <alignment vertical="center"/>
    </xf>
    <xf numFmtId="0" fontId="26" fillId="11" borderId="19" xfId="0" applyFont="1" applyFill="1" applyBorder="1" applyAlignment="1">
      <alignment horizontal="left" vertical="center" indent="2"/>
    </xf>
    <xf numFmtId="8" fontId="24" fillId="11" borderId="20" xfId="0" applyNumberFormat="1" applyFont="1" applyFill="1" applyBorder="1" applyAlignment="1">
      <alignment horizontal="right" vertical="center"/>
    </xf>
    <xf numFmtId="0" fontId="23" fillId="7" borderId="9" xfId="4" applyFont="1" applyFill="1" applyBorder="1">
      <alignment horizontal="left" vertical="center" indent="1"/>
    </xf>
    <xf numFmtId="8" fontId="14" fillId="11" borderId="31" xfId="0" applyNumberFormat="1" applyFont="1" applyFill="1" applyBorder="1" applyAlignment="1">
      <alignment horizontal="right"/>
    </xf>
    <xf numFmtId="8" fontId="14" fillId="11" borderId="6" xfId="0" applyNumberFormat="1" applyFont="1" applyFill="1" applyBorder="1" applyAlignment="1">
      <alignment horizontal="right"/>
    </xf>
    <xf numFmtId="0" fontId="15" fillId="4" borderId="4" xfId="0" applyFont="1" applyFill="1" applyBorder="1" applyAlignment="1">
      <alignment horizontal="left" vertical="center" indent="1"/>
    </xf>
    <xf numFmtId="0" fontId="29" fillId="9" borderId="32" xfId="3" applyFont="1" applyFill="1" applyBorder="1">
      <alignment vertical="center"/>
    </xf>
    <xf numFmtId="0" fontId="19" fillId="12" borderId="15" xfId="4" applyFont="1" applyFill="1" applyBorder="1" applyAlignment="1">
      <alignment horizontal="left"/>
    </xf>
    <xf numFmtId="164" fontId="19" fillId="12" borderId="15" xfId="4" applyNumberFormat="1" applyFont="1" applyFill="1" applyBorder="1" applyAlignment="1">
      <alignment horizontal="left"/>
    </xf>
    <xf numFmtId="0" fontId="19" fillId="12" borderId="16" xfId="4" applyFont="1" applyFill="1" applyBorder="1" applyAlignment="1">
      <alignment horizontal="left"/>
    </xf>
    <xf numFmtId="0" fontId="18" fillId="11" borderId="19" xfId="0" applyFont="1" applyFill="1" applyBorder="1" applyAlignment="1">
      <alignment horizontal="left" vertical="center" indent="1"/>
    </xf>
    <xf numFmtId="0" fontId="17" fillId="11" borderId="19" xfId="0" applyFont="1" applyFill="1" applyBorder="1" applyAlignment="1">
      <alignment horizontal="left" vertical="center" indent="2"/>
    </xf>
    <xf numFmtId="0" fontId="5" fillId="11" borderId="19" xfId="0" applyFont="1" applyFill="1" applyBorder="1" applyAlignment="1">
      <alignment horizontal="left" vertical="center" indent="1"/>
    </xf>
    <xf numFmtId="8" fontId="13" fillId="11" borderId="20" xfId="0" applyNumberFormat="1" applyFont="1" applyFill="1" applyBorder="1" applyAlignment="1">
      <alignment vertical="center"/>
    </xf>
    <xf numFmtId="0" fontId="18" fillId="11" borderId="19" xfId="0" applyFont="1" applyFill="1" applyBorder="1" applyAlignment="1">
      <alignment horizontal="left" vertical="center" indent="2"/>
    </xf>
    <xf numFmtId="0" fontId="0" fillId="11" borderId="2" xfId="0" applyFill="1" applyBorder="1" applyAlignment="1">
      <alignment horizontal="left" vertical="center" indent="1"/>
    </xf>
    <xf numFmtId="0" fontId="15" fillId="4" borderId="26" xfId="0" applyFont="1" applyFill="1" applyBorder="1" applyAlignment="1">
      <alignment horizontal="left" vertical="center" indent="1"/>
    </xf>
    <xf numFmtId="0" fontId="0" fillId="10" borderId="0" xfId="0" applyAlignment="1">
      <alignment horizontal="left" indent="1"/>
    </xf>
    <xf numFmtId="0" fontId="3" fillId="10" borderId="0" xfId="0" applyFont="1" applyAlignment="1">
      <alignment horizontal="left"/>
    </xf>
    <xf numFmtId="0" fontId="19" fillId="10" borderId="0" xfId="0" applyFont="1" applyAlignment="1">
      <alignment wrapText="1"/>
    </xf>
    <xf numFmtId="0" fontId="19" fillId="10" borderId="0" xfId="0" applyFont="1"/>
    <xf numFmtId="0" fontId="28" fillId="4" borderId="0" xfId="0" applyFont="1" applyFill="1" applyAlignment="1">
      <alignment horizontal="center" vertical="top"/>
    </xf>
    <xf numFmtId="0" fontId="16" fillId="4" borderId="0" xfId="2" applyAlignment="1">
      <alignment horizontal="left" indent="1"/>
    </xf>
    <xf numFmtId="0" fontId="5" fillId="10" borderId="0" xfId="0" applyFont="1" applyAlignment="1">
      <alignment horizontal="center"/>
    </xf>
    <xf numFmtId="0" fontId="3" fillId="10" borderId="0" xfId="0" applyFont="1" applyAlignment="1">
      <alignment horizontal="center"/>
    </xf>
    <xf numFmtId="0" fontId="12" fillId="8" borderId="0" xfId="1" applyFont="1" applyFill="1" applyAlignment="1">
      <alignment horizontal="left" vertical="top" indent="1"/>
    </xf>
    <xf numFmtId="0" fontId="11" fillId="4" borderId="0" xfId="5" applyFill="1" applyAlignment="1">
      <alignment horizontal="left" vertical="top" indent="1"/>
    </xf>
    <xf numFmtId="0" fontId="37" fillId="4" borderId="0" xfId="5" applyFont="1" applyFill="1" applyAlignment="1">
      <alignment horizontal="left" vertical="top" indent="1"/>
    </xf>
    <xf numFmtId="0" fontId="3" fillId="10" borderId="0" xfId="0" applyFont="1" applyAlignment="1">
      <alignment horizontal="left"/>
    </xf>
    <xf numFmtId="0" fontId="3" fillId="10" borderId="0" xfId="0" applyFont="1" applyAlignment="1">
      <alignment horizontal="left" indent="1"/>
    </xf>
    <xf numFmtId="0" fontId="16" fillId="4" borderId="0" xfId="2" applyAlignment="1">
      <alignment horizontal="right" vertical="center" indent="3"/>
    </xf>
    <xf numFmtId="0" fontId="38" fillId="4" borderId="0" xfId="2" applyFont="1" applyAlignment="1">
      <alignment horizontal="center" wrapText="1"/>
    </xf>
    <xf numFmtId="0" fontId="30" fillId="11" borderId="0" xfId="0" applyFont="1" applyFill="1" applyAlignment="1">
      <alignment horizontal="center"/>
    </xf>
  </cellXfs>
  <cellStyles count="6">
    <cellStyle name="Explanatory Text" xfId="5"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443">
    <dxf>
      <font>
        <b val="0"/>
        <i val="0"/>
        <strike val="0"/>
        <condense val="0"/>
        <extend val="0"/>
        <outline val="0"/>
        <shadow val="0"/>
        <u val="none"/>
        <vertAlign val="baseline"/>
        <sz val="9"/>
        <color theme="1" tint="0.24994659260841701"/>
        <name val="Microsoft Sans Serif"/>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ill>
        <patternFill patternType="solid">
          <fgColor indexed="64"/>
          <bgColor theme="6" tint="0.79998168889431442"/>
        </patternFill>
      </fill>
      <border diagonalUp="0" diagonalDown="0" outline="0">
        <left style="medium">
          <color theme="6" tint="0.39994506668294322"/>
        </left>
        <right/>
        <top/>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border diagonalUp="0" diagonalDown="0" outline="0">
        <left style="medium">
          <color theme="6" tint="0.39994506668294322"/>
        </left>
        <right/>
        <top/>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scheme val="minor"/>
      </fon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font>
      <fill>
        <patternFill patternType="solid">
          <fgColor indexed="64"/>
          <bgColor theme="6" tint="0.79998168889431442"/>
        </patternFill>
      </fill>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0"/>
        </patternFill>
      </fill>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border diagonalUp="0" diagonalDown="0" outline="0">
        <left style="medium">
          <color theme="6" tint="0.39994506668294322"/>
        </left>
        <right/>
        <top/>
        <bottom/>
      </border>
    </dxf>
    <dxf>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scheme val="minor"/>
      </fon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border diagonalUp="0" diagonalDown="0" outline="0">
        <left style="medium">
          <color theme="6" tint="0.39994506668294322"/>
        </left>
        <right/>
        <top/>
        <bottom/>
      </border>
    </dxf>
    <dxf>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auto="1"/>
        <name val="Microsoft Sans Serif"/>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scheme val="minor"/>
      </font>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Sans Serif"/>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border diagonalUp="0" diagonalDown="0" outline="0">
        <left style="medium">
          <color theme="6" tint="0.39994506668294322"/>
        </left>
        <right/>
        <top/>
        <bottom/>
      </border>
    </dxf>
    <dxf>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scheme val="minor"/>
      </font>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strike val="0"/>
        <outline val="0"/>
        <shadow val="0"/>
        <u val="none"/>
        <vertAlign val="baseline"/>
        <sz val="9"/>
        <color theme="1"/>
        <name val="Microsoft Sans Serif"/>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scheme val="minor"/>
      </font>
      <numFmt numFmtId="12" formatCode="&quot;$&quot;#,##0.00_);[Red]\(&quot;$&quot;#,##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4506668294322"/>
        </right>
        <top/>
        <bottom/>
        <horizontal/>
      </border>
    </dxf>
    <dxf>
      <font>
        <strike val="0"/>
        <outline val="0"/>
        <shadow val="0"/>
        <u val="none"/>
        <vertAlign val="baseline"/>
        <sz val="9"/>
        <color theme="1"/>
        <name val="Microsoft Sans Serif"/>
        <scheme val="minor"/>
      </font>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Sans Serif"/>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tableStyleElement type="wholeTable" dxfId="442"/>
      <tableStyleElement type="headerRow" dxfId="441"/>
      <tableStyleElement type="totalRow" dxfId="440"/>
      <tableStyleElement type="firstColumn" dxfId="439"/>
      <tableStyleElement type="lastColumn" dxfId="438"/>
      <tableStyleElement type="firstRowStripe" size="9" dxfId="437"/>
      <tableStyleElement type="firstColumnStripe" dxfId="436"/>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Monthly Expenses</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1"/>
          <c:tx>
            <c:v>Planned</c:v>
          </c:tx>
          <c:spPr>
            <a:solidFill>
              <a:schemeClr val="accent2"/>
            </a:solidFill>
            <a:ln>
              <a:noFill/>
            </a:ln>
            <a:effectLst/>
          </c:spPr>
          <c:invertIfNegative val="0"/>
          <c:val>
            <c:numRef>
              <c:f>'PLANNED EXPENSES'!$C$36:$N$36</c:f>
              <c:numCache>
                <c:formatCode>"$"#,##0.00_);[Red]\("$"#,##0.00\)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xmlns:c16r2="http://schemas.microsoft.com/office/drawing/2015/06/chart">
            <c:ext xmlns:c16="http://schemas.microsoft.com/office/drawing/2014/chart" uri="{C3380CC4-5D6E-409C-BE32-E72D297353CC}">
              <c16:uniqueId val="{00000000-135D-4DB7-A511-401DE3785DC9}"/>
            </c:ext>
          </c:extLst>
        </c:ser>
        <c:ser>
          <c:idx val="2"/>
          <c:order val="2"/>
          <c:tx>
            <c:v>Actual</c:v>
          </c:tx>
          <c:spPr>
            <a:solidFill>
              <a:schemeClr val="accent4">
                <a:alpha val="25000"/>
              </a:schemeClr>
            </a:solidFill>
            <a:ln>
              <a:noFill/>
            </a:ln>
            <a:effectLst/>
          </c:spPr>
          <c:invertIfNegative val="0"/>
          <c:val>
            <c:numRef>
              <c:f>'ACTUAL EXPENSES'!$C$36:$N$36</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187690112"/>
        <c:axId val="187688432"/>
      </c:barChart>
      <c:lineChart>
        <c:grouping val="standard"/>
        <c:varyColors val="0"/>
        <c:ser>
          <c:idx val="0"/>
          <c:order val="0"/>
          <c:tx>
            <c:v>Variance</c:v>
          </c:tx>
          <c:spPr>
            <a:ln w="28575" cap="rnd">
              <a:solidFill>
                <a:schemeClr val="accent3">
                  <a:shade val="65000"/>
                </a:schemeClr>
              </a:solidFill>
              <a:round/>
            </a:ln>
            <a:effectLst/>
          </c:spPr>
          <c:marker>
            <c:symbol val="none"/>
          </c:marker>
          <c:val>
            <c:numRef>
              <c:f>'EXPENSE VARIANCES'!$C$36:$N$36</c:f>
              <c:numCache>
                <c:formatCode>"$"#,##0.00_);[Red]\("$"#,##0.00\)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xmlns:c16r2="http://schemas.microsoft.com/office/drawing/2015/06/char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187690112"/>
        <c:axId val="187688432"/>
      </c:lineChart>
      <c:catAx>
        <c:axId val="187690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7688432"/>
        <c:crosses val="autoZero"/>
        <c:auto val="1"/>
        <c:lblAlgn val="ctr"/>
        <c:lblOffset val="100"/>
        <c:noMultiLvlLbl val="0"/>
      </c:catAx>
      <c:valAx>
        <c:axId val="187688432"/>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7690112"/>
        <c:crosses val="autoZero"/>
        <c:crossBetween val="between"/>
        <c:dispUnits>
          <c:builtInUnit val="tenThousands"/>
          <c:dispUnitsLbl>
            <c:layout>
              <c:manualLayout>
                <c:xMode val="edge"/>
                <c:yMode val="edge"/>
                <c:x val="4.1853475435826903E-2"/>
                <c:y val="0.1131709608276475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1.8591667626513452E-4"/>
          <c:y val="5.3074322488831559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'EXPENSE ANALYSIS'!$C$5</c:f>
              <c:strCache>
                <c:ptCount val="1"/>
                <c:pt idx="0">
                  <c:v>Planned Expenses</c:v>
                </c:pt>
              </c:strCache>
            </c:strRef>
          </c:tx>
          <c:spPr>
            <a:solidFill>
              <a:schemeClr val="accent2"/>
            </a:solidFill>
            <a:ln w="19050">
              <a:noFill/>
            </a:ln>
            <a:effectLst/>
          </c:spPr>
          <c:invertIfNegative val="0"/>
          <c:cat>
            <c:strRef>
              <c:f>'EXPENSE ANALYSIS'!$B$6:$B$9</c:f>
              <c:strCache>
                <c:ptCount val="4"/>
                <c:pt idx="0">
                  <c:v>Employee Costs</c:v>
                </c:pt>
                <c:pt idx="1">
                  <c:v>Office Costs</c:v>
                </c:pt>
                <c:pt idx="2">
                  <c:v>Marketing Costs</c:v>
                </c:pt>
                <c:pt idx="3">
                  <c:v>Training/Travel</c:v>
                </c:pt>
              </c:strCache>
            </c:strRef>
          </c:cat>
          <c:val>
            <c:numRef>
              <c:f>'EXPENSE ANALYSIS'!$C$6:$C$9</c:f>
              <c:numCache>
                <c:formatCode>"$"#,##0.00_);[Red]\("$"#,##0.00\)</c:formatCode>
                <c:ptCount val="4"/>
                <c:pt idx="0">
                  <c:v>1355090</c:v>
                </c:pt>
                <c:pt idx="1">
                  <c:v>138740</c:v>
                </c:pt>
                <c:pt idx="2">
                  <c:v>67800</c:v>
                </c:pt>
                <c:pt idx="3">
                  <c:v>48000</c:v>
                </c:pt>
              </c:numCache>
            </c:numRef>
          </c:val>
          <c:extLst xmlns:c16r2="http://schemas.microsoft.com/office/drawing/2015/06/chart">
            <c:ext xmlns:c16="http://schemas.microsoft.com/office/drawing/2014/chart" uri="{C3380CC4-5D6E-409C-BE32-E72D297353CC}">
              <c16:uniqueId val="{00000009-F485-485F-B818-D5944CB69AAB}"/>
            </c:ext>
          </c:extLst>
        </c:ser>
        <c:ser>
          <c:idx val="0"/>
          <c:order val="1"/>
          <c:tx>
            <c:strRef>
              <c:f>'EXPENSE ANALYSIS'!$D$5</c:f>
              <c:strCache>
                <c:ptCount val="1"/>
                <c:pt idx="0">
                  <c:v>Actual Expenses</c:v>
                </c:pt>
              </c:strCache>
            </c:strRef>
          </c:tx>
          <c:spPr>
            <a:solidFill>
              <a:schemeClr val="accent4"/>
            </a:solidFill>
            <a:ln w="19050">
              <a:noFill/>
            </a:ln>
            <a:effectLst/>
          </c:spPr>
          <c:invertIfNegative val="0"/>
          <c:dPt>
            <c:idx val="0"/>
            <c:invertIfNegative val="0"/>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1-F485-485F-B818-D5944CB69AAB}"/>
              </c:ext>
            </c:extLst>
          </c:dPt>
          <c:dPt>
            <c:idx val="1"/>
            <c:invertIfNegative val="0"/>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3-F485-485F-B818-D5944CB69AAB}"/>
              </c:ext>
            </c:extLst>
          </c:dPt>
          <c:dPt>
            <c:idx val="2"/>
            <c:invertIfNegative val="0"/>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5-F485-485F-B818-D5944CB69AAB}"/>
              </c:ext>
            </c:extLst>
          </c:dPt>
          <c:dPt>
            <c:idx val="3"/>
            <c:invertIfNegative val="0"/>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7-F485-485F-B818-D5944CB69AAB}"/>
              </c:ext>
            </c:extLst>
          </c:dPt>
          <c:cat>
            <c:strRef>
              <c:f>'EXPENSE ANALYSIS'!$B$6:$B$9</c:f>
              <c:strCache>
                <c:ptCount val="4"/>
                <c:pt idx="0">
                  <c:v>Employee Costs</c:v>
                </c:pt>
                <c:pt idx="1">
                  <c:v>Office Costs</c:v>
                </c:pt>
                <c:pt idx="2">
                  <c:v>Marketing Costs</c:v>
                </c:pt>
                <c:pt idx="3">
                  <c:v>Training/Travel</c:v>
                </c:pt>
              </c:strCache>
            </c:strRef>
          </c:cat>
          <c:val>
            <c:numRef>
              <c:f>'EXPENSE ANALYSIS'!$D$6:$D$9</c:f>
              <c:numCache>
                <c:formatCode>"$"#,##0.00_);[Red]\("$"#,##0.00\)</c:formatCode>
                <c:ptCount val="4"/>
                <c:pt idx="0">
                  <c:v>659130</c:v>
                </c:pt>
                <c:pt idx="1">
                  <c:v>69350</c:v>
                </c:pt>
                <c:pt idx="2">
                  <c:v>33159</c:v>
                </c:pt>
                <c:pt idx="3">
                  <c:v>21300</c:v>
                </c:pt>
              </c:numCache>
            </c:numRef>
          </c:val>
          <c:extLst xmlns:c16r2="http://schemas.microsoft.com/office/drawing/2015/06/char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235042784"/>
        <c:axId val="235042224"/>
      </c:barChart>
      <c:valAx>
        <c:axId val="235042224"/>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quot;$&quot;#,##0_);[Red]\(&quot;$&quot;#,##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42784"/>
        <c:crosses val="autoZero"/>
        <c:crossBetween val="between"/>
        <c:dispUnits>
          <c:builtInUnit val="tenThousands"/>
          <c:dispUnitsLbl>
            <c:layout>
              <c:manualLayout>
                <c:xMode val="edge"/>
                <c:yMode val="edge"/>
                <c:x val="0.8892370118684154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2350427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42224"/>
        <c:crosses val="autoZero"/>
        <c:auto val="1"/>
        <c:lblAlgn val="ctr"/>
        <c:lblOffset val="100"/>
        <c:noMultiLvlLbl val="0"/>
      </c:catAx>
      <c:spPr>
        <a:noFill/>
        <a:ln>
          <a:noFill/>
        </a:ln>
        <a:effectLst/>
      </c:spPr>
    </c:plotArea>
    <c:legend>
      <c:legendPos val="t"/>
      <c:layout>
        <c:manualLayout>
          <c:xMode val="edge"/>
          <c:yMode val="edge"/>
          <c:x val="1.0972101080870553E-3"/>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Speech Bubble: Rectangle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xmlns=""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r>
            <a:rPr lang="en-US" sz="1100" b="1">
              <a:solidFill>
                <a:schemeClr val="tx2"/>
              </a:solidFill>
              <a:effectLst/>
              <a:latin typeface="+mn-lt"/>
              <a:ea typeface="+mn-ea"/>
              <a:cs typeface="+mn-cs"/>
            </a:rPr>
            <a:t>HOW TO USE THIS TEMPLATE</a:t>
          </a:r>
        </a:p>
        <a:p>
          <a:endParaRPr lang="en-US">
            <a:solidFill>
              <a:schemeClr val="tx2"/>
            </a:solidFill>
            <a:effectLst/>
          </a:endParaRPr>
        </a:p>
        <a:p>
          <a:r>
            <a:rPr lang="en-US" sz="1100">
              <a:solidFill>
                <a:schemeClr val="tx2"/>
              </a:solidFill>
              <a:effectLst/>
              <a:latin typeface="+mn-lt"/>
              <a:ea typeface="+mn-ea"/>
              <a:cs typeface="+mn-cs"/>
            </a:rPr>
            <a:t>Input data in the white cells on the PLANNED EXPENSES and ACTUAL EXPENSES worksheets, and the EXPENSE VARIANCES and EXPENSE ANALYSIS will be calculated for you.  If you add a row on one sheet, the</a:t>
          </a:r>
          <a:r>
            <a:rPr lang="en-US" sz="1100" baseline="0">
              <a:solidFill>
                <a:schemeClr val="tx2"/>
              </a:solidFill>
              <a:effectLst/>
              <a:latin typeface="+mn-lt"/>
              <a:ea typeface="+mn-ea"/>
              <a:cs typeface="+mn-cs"/>
            </a:rPr>
            <a:t> other sheets need to match.</a:t>
          </a:r>
          <a:endParaRPr lang="en-US" sz="1100">
            <a:solidFill>
              <a:schemeClr val="tx2"/>
            </a:solidFill>
          </a:endParaRPr>
        </a:p>
      </xdr:txBody>
    </xdr:sp>
    <xdr:clientData fPrintsWithSheet="0"/>
  </xdr:twoCellAnchor>
  <xdr:twoCellAnchor editAs="oneCell">
    <xdr:from>
      <xdr:col>13</xdr:col>
      <xdr:colOff>267556</xdr:colOff>
      <xdr:row>1</xdr:row>
      <xdr:rowOff>0</xdr:rowOff>
    </xdr:from>
    <xdr:to>
      <xdr:col>14</xdr:col>
      <xdr:colOff>946372</xdr:colOff>
      <xdr:row>2</xdr:row>
      <xdr:rowOff>141360</xdr:rowOff>
    </xdr:to>
    <xdr:pic>
      <xdr:nvPicPr>
        <xdr:cNvPr id="9" name="Picture 18" descr="Logo placeholder">
          <a:extLst>
            <a:ext uri="{FF2B5EF4-FFF2-40B4-BE49-F238E27FC236}">
              <a16:creationId xmlns:a16="http://schemas.microsoft.com/office/drawing/2014/main" xmlns="" id="{65A40888-9F83-43E7-A699-52663041F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bwMode="auto">
        <a:xfrm>
          <a:off x="13206573" y="214045"/>
          <a:ext cx="1631209" cy="708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0</xdr:rowOff>
    </xdr:from>
    <xdr:to>
      <xdr:col>14</xdr:col>
      <xdr:colOff>946372</xdr:colOff>
      <xdr:row>2</xdr:row>
      <xdr:rowOff>141360</xdr:rowOff>
    </xdr:to>
    <xdr:pic>
      <xdr:nvPicPr>
        <xdr:cNvPr id="6" name="Picture 18" descr="Logo placeholder">
          <a:extLst>
            <a:ext uri="{FF2B5EF4-FFF2-40B4-BE49-F238E27FC236}">
              <a16:creationId xmlns:a16="http://schemas.microsoft.com/office/drawing/2014/main" xmlns="" id="{83DAF7B9-4C56-44AA-B3C3-38F1A49B5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bwMode="auto">
        <a:xfrm>
          <a:off x="13364431" y="304800"/>
          <a:ext cx="1631316" cy="71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238125</xdr:colOff>
      <xdr:row>1</xdr:row>
      <xdr:rowOff>0</xdr:rowOff>
    </xdr:from>
    <xdr:to>
      <xdr:col>14</xdr:col>
      <xdr:colOff>925147</xdr:colOff>
      <xdr:row>2</xdr:row>
      <xdr:rowOff>129496</xdr:rowOff>
    </xdr:to>
    <xdr:pic>
      <xdr:nvPicPr>
        <xdr:cNvPr id="6" name="Picture 18" descr="Logo placeholder">
          <a:extLst>
            <a:ext uri="{FF2B5EF4-FFF2-40B4-BE49-F238E27FC236}">
              <a16:creationId xmlns:a16="http://schemas.microsoft.com/office/drawing/2014/main" xmlns="" id="{A2E6D019-45AC-4D89-848F-C976B436C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bwMode="auto">
        <a:xfrm>
          <a:off x="13211175" y="304800"/>
          <a:ext cx="1639522"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12</xdr:row>
      <xdr:rowOff>200025</xdr:rowOff>
    </xdr:from>
    <xdr:to>
      <xdr:col>6</xdr:col>
      <xdr:colOff>5939</xdr:colOff>
      <xdr:row>16</xdr:row>
      <xdr:rowOff>5778</xdr:rowOff>
    </xdr:to>
    <xdr:graphicFrame macro="">
      <xdr:nvGraphicFramePr>
        <xdr:cNvPr id="8" name="MonthlyExpensesChart" descr="Chart showing Planned, Actual, and Variance in Monthly Expenses">
          <a:extLst>
            <a:ext uri="{FF2B5EF4-FFF2-40B4-BE49-F238E27FC236}">
              <a16:creationId xmlns:a16="http://schemas.microsoft.com/office/drawing/2014/main" xmlns=""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447675</xdr:colOff>
      <xdr:row>1</xdr:row>
      <xdr:rowOff>0</xdr:rowOff>
    </xdr:from>
    <xdr:to>
      <xdr:col>6</xdr:col>
      <xdr:colOff>69215</xdr:colOff>
      <xdr:row>1</xdr:row>
      <xdr:rowOff>550531</xdr:rowOff>
    </xdr:to>
    <xdr:pic>
      <xdr:nvPicPr>
        <xdr:cNvPr id="9" name="Picture 18" descr="Logo placeholder">
          <a:extLst>
            <a:ext uri="{FF2B5EF4-FFF2-40B4-BE49-F238E27FC236}">
              <a16:creationId xmlns:a16="http://schemas.microsoft.com/office/drawing/2014/main" xmlns="" id="{7C6D1F32-6273-47BA-873D-2E5A8467E2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bwMode="auto">
        <a:xfrm>
          <a:off x="7219950" y="304800"/>
          <a:ext cx="1259840" cy="5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11</xdr:row>
      <xdr:rowOff>0</xdr:rowOff>
    </xdr:from>
    <xdr:to>
      <xdr:col>5</xdr:col>
      <xdr:colOff>1488140</xdr:colOff>
      <xdr:row>11</xdr:row>
      <xdr:rowOff>3657601</xdr:rowOff>
    </xdr:to>
    <xdr:graphicFrame macro="">
      <xdr:nvGraphicFramePr>
        <xdr:cNvPr id="7" name="ActualExpensesChart" descr="Pie chart showing actual expenses incurred on various categories">
          <a:extLst>
            <a:ext uri="{FF2B5EF4-FFF2-40B4-BE49-F238E27FC236}">
              <a16:creationId xmlns:a16="http://schemas.microsoft.com/office/drawing/2014/main" xmlns=""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OfficePlan" displayName="OfficePlan" ref="B10:O19" totalsRowCount="1" headerRowDxfId="435" totalsRowDxfId="432" headerRowBorderDxfId="434" tableBorderDxfId="433" totalsRowBorderDxfId="431">
  <autoFilter ref="B10: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Office Costs" totalsRowLabel="Subtotal" dataDxfId="430" totalsRowDxfId="429"/>
    <tableColumn id="2" name="Jan" totalsRowFunction="sum" dataDxfId="428" totalsRowDxfId="427"/>
    <tableColumn id="3" name="Feb" totalsRowFunction="sum" dataDxfId="426" totalsRowDxfId="425"/>
    <tableColumn id="4" name="Mar" totalsRowFunction="sum" dataDxfId="424" totalsRowDxfId="423"/>
    <tableColumn id="5" name="Apr" totalsRowFunction="sum" dataDxfId="422" totalsRowDxfId="421"/>
    <tableColumn id="6" name="May" totalsRowFunction="sum" dataDxfId="420" totalsRowDxfId="419"/>
    <tableColumn id="7" name="Jun" totalsRowFunction="sum" dataDxfId="418" totalsRowDxfId="417"/>
    <tableColumn id="8" name="Jul" totalsRowFunction="sum" dataDxfId="416" totalsRowDxfId="415"/>
    <tableColumn id="9" name="Aug" totalsRowFunction="sum" dataDxfId="414" totalsRowDxfId="413"/>
    <tableColumn id="10" name="Sep" totalsRowFunction="sum" dataDxfId="412" totalsRowDxfId="411"/>
    <tableColumn id="11" name="Oct" totalsRowFunction="sum" dataDxfId="410" totalsRowDxfId="409"/>
    <tableColumn id="12" name="Nov" totalsRowFunction="sum" dataDxfId="408" totalsRowDxfId="407"/>
    <tableColumn id="13" name="Dec" totalsRowFunction="sum" dataDxfId="406" totalsRowDxfId="405"/>
    <tableColumn id="14" name="YEAR" totalsRowFunction="sum" dataDxfId="404" totalsRowDxfId="403">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Enter planned monthly office costs in this table. Total is auto calculated at the end"/>
    </ext>
  </extLst>
</table>
</file>

<file path=xl/tables/table10.xml><?xml version="1.0" encoding="utf-8"?>
<table xmlns="http://schemas.openxmlformats.org/spreadsheetml/2006/main" id="15" name="TotalActual" displayName="TotalActual" ref="B35:O37" totalsRowShown="0" headerRowDxfId="152" dataDxfId="151" tableBorderDxfId="150" headerRowCellStyle="Heading 3">
  <autoFilter ref="B35:O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OTAL Planned Expenses" dataDxfId="149"/>
    <tableColumn id="2" name="Jan" dataDxfId="148">
      <calculatedColumnFormula>SUM($C35:C$36)</calculatedColumnFormula>
    </tableColumn>
    <tableColumn id="3" name="Feb" dataDxfId="147">
      <calculatedColumnFormula>SUM($C35:D$36)</calculatedColumnFormula>
    </tableColumn>
    <tableColumn id="4" name="Mar" dataDxfId="146">
      <calculatedColumnFormula>SUM($C35:E$36)</calculatedColumnFormula>
    </tableColumn>
    <tableColumn id="5" name="Apr" dataDxfId="145">
      <calculatedColumnFormula>SUM($C35:F$36)</calculatedColumnFormula>
    </tableColumn>
    <tableColumn id="6" name="May" dataDxfId="144">
      <calculatedColumnFormula>SUM($C35:G$36)</calculatedColumnFormula>
    </tableColumn>
    <tableColumn id="7" name="Jun" dataDxfId="143">
      <calculatedColumnFormula>SUM($C35:H$36)</calculatedColumnFormula>
    </tableColumn>
    <tableColumn id="8" name="Jul" dataDxfId="142">
      <calculatedColumnFormula>SUM($C35:I$36)</calculatedColumnFormula>
    </tableColumn>
    <tableColumn id="9" name="Aug" dataDxfId="141">
      <calculatedColumnFormula>SUM($C35:J$36)</calculatedColumnFormula>
    </tableColumn>
    <tableColumn id="10" name="Sep" dataDxfId="140">
      <calculatedColumnFormula>SUM($C35:K$36)</calculatedColumnFormula>
    </tableColumn>
    <tableColumn id="11" name="Oct" dataDxfId="139">
      <calculatedColumnFormula>SUM($C35:L$36)</calculatedColumnFormula>
    </tableColumn>
    <tableColumn id="12" name="Nov" dataDxfId="138">
      <calculatedColumnFormula>SUM($C35:M$36)</calculatedColumnFormula>
    </tableColumn>
    <tableColumn id="13" name="Dec" dataDxfId="137">
      <calculatedColumnFormula>SUM($C35:N$36)</calculatedColumnFormula>
    </tableColumn>
    <tableColumn id="14" name="Year" dataDxfId="136"/>
  </tableColumns>
  <tableStyleInfo name="TableStyleMedium1" showFirstColumn="1" showLastColumn="0" showRowStripes="0" showColumnStripes="0"/>
  <extLst>
    <ext xmlns:x14="http://schemas.microsoft.com/office/spreadsheetml/2009/9/main" uri="{504A1905-F514-4f6f-8877-14C23A59335A}">
      <x14:table altTextSummary="Monthly and Total Actual Expenses are auto calculated in this table"/>
    </ext>
  </extLst>
</table>
</file>

<file path=xl/tables/table11.xml><?xml version="1.0" encoding="utf-8"?>
<table xmlns="http://schemas.openxmlformats.org/spreadsheetml/2006/main" id="9" name="EmployeeVariances" displayName="EmployeeVariances" ref="B5:O8" totalsRowCount="1" headerRowDxfId="130" totalsRowDxfId="127" headerRowBorderDxfId="129" tableBorderDxfId="128" totalsRowBorderDxfId="126">
  <autoFilter ref="B5:O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mployee Costs" totalsRowLabel="Subtotal" dataDxfId="125" totalsRowDxfId="124"/>
    <tableColumn id="2" name="Jan" totalsRowFunction="sum">
      <calculatedColumnFormula>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calculatedColumnFormula>
    </tableColumn>
    <tableColumn id="3" name="Feb" totalsRowFunction="sum">
      <calculatedColumnFormula>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calculatedColumnFormula>
    </tableColumn>
    <tableColumn id="4" name="Mar" totalsRowFunction="sum">
      <calculatedColumnFormula>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calculatedColumnFormula>
    </tableColumn>
    <tableColumn id="5" name="Apr" totalsRowFunction="sum">
      <calculatedColumnFormula>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calculatedColumnFormula>
    </tableColumn>
    <tableColumn id="6" name="May" totalsRowFunction="sum">
      <calculatedColumnFormula>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calculatedColumnFormula>
    </tableColumn>
    <tableColumn id="7" name="Jun" totalsRowFunction="sum">
      <calculatedColumnFormula>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calculatedColumnFormula>
    </tableColumn>
    <tableColumn id="8" name="Jul" totalsRowFunction="sum">
      <calculatedColumnFormula>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calculatedColumnFormula>
    </tableColumn>
    <tableColumn id="9" name="Aug" totalsRowFunction="sum">
      <calculatedColumnFormula>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calculatedColumnFormula>
    </tableColumn>
    <tableColumn id="10" name="Sep" totalsRowFunction="sum">
      <calculatedColumnFormula>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calculatedColumnFormula>
    </tableColumn>
    <tableColumn id="11" name="Oct" totalsRowFunction="sum">
      <calculatedColumnFormula>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calculatedColumnFormula>
    </tableColumn>
    <tableColumn id="12" name="Nov" totalsRowFunction="sum">
      <calculatedColumnFormula>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calculatedColumnFormula>
    </tableColumn>
    <tableColumn id="13" name="Dec" totalsRowFunction="sum">
      <calculatedColumnFormula>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calculatedColumnFormula>
    </tableColumn>
    <tableColumn id="14" name="YEAR" totalsRowFunction="sum" dataDxfId="123">
      <calculatedColumnFormula>SUM(EmployeeVariances[[#This Row],[Jan]:[Dec]])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Variance in employee costs per month is auto calculated in this table"/>
    </ext>
  </extLst>
</table>
</file>

<file path=xl/tables/table12.xml><?xml version="1.0" encoding="utf-8"?>
<table xmlns="http://schemas.openxmlformats.org/spreadsheetml/2006/main" id="10" name="OfficeVariances" displayName="OfficeVariances" ref="B10:O19" totalsRowCount="1" headerRowDxfId="122" totalsRowDxfId="119" headerRowBorderDxfId="121" tableBorderDxfId="120" totalsRowBorderDxfId="118">
  <autoFilter ref="B10: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Office Costs" totalsRowLabel="Subtotal" dataDxfId="117" totalsRowDxfId="116"/>
    <tableColumn id="2" name="Jan" totalsRowFunction="sum" dataDxfId="115" totalsRowDxfId="114">
      <calculatedColumnFormula>INDEX(OfficePlan[],MATCH(INDEX(OfficeVariances[],ROW()-ROW(OfficeVariances[[#Headers],[Jan]]),1),INDEX(OfficePlan[],,1),0),MATCH(OfficeVariances[[#Headers],[Jan]],OfficePlan[#Headers],0))-INDEX(OfficeActual[],MATCH(INDEX(OfficeVariances[],ROW()-ROW(OfficeVariances[[#Headers],[Jan]]),1),INDEX(OfficePlan[],,1),0),MATCH(OfficeVariances[[#Headers],[Jan]],OfficeActual[#Headers],0))</calculatedColumnFormula>
    </tableColumn>
    <tableColumn id="3" name="Feb" totalsRowFunction="sum" dataDxfId="113" totalsRowDxfId="112">
      <calculatedColumnFormula>INDEX(OfficePlan[],MATCH(INDEX(OfficeVariances[],ROW()-ROW(OfficeVariances[[#Headers],[Feb]]),1),INDEX(OfficePlan[],,1),0),MATCH(OfficeVariances[[#Headers],[Feb]],OfficePlan[#Headers],0))-INDEX(OfficeActual[],MATCH(INDEX(OfficeVariances[],ROW()-ROW(OfficeVariances[[#Headers],[Feb]]),1),INDEX(OfficePlan[],,1),0),MATCH(OfficeVariances[[#Headers],[Feb]],OfficeActual[#Headers],0))</calculatedColumnFormula>
    </tableColumn>
    <tableColumn id="4" name="Mar" totalsRowFunction="sum" dataDxfId="111" totalsRowDxfId="110">
      <calculatedColumnFormula>INDEX(OfficePlan[],MATCH(INDEX(OfficeVariances[],ROW()-ROW(OfficeVariances[[#Headers],[Mar]]),1),INDEX(OfficePlan[],,1),0),MATCH(OfficeVariances[[#Headers],[Mar]],OfficePlan[#Headers],0))-INDEX(OfficeActual[],MATCH(INDEX(OfficeVariances[],ROW()-ROW(OfficeVariances[[#Headers],[Mar]]),1),INDEX(OfficePlan[],,1),0),MATCH(OfficeVariances[[#Headers],[Mar]],OfficeActual[#Headers],0))</calculatedColumnFormula>
    </tableColumn>
    <tableColumn id="5" name="Apr" totalsRowFunction="sum" dataDxfId="109" totalsRowDxfId="108">
      <calculatedColumnFormula>INDEX(OfficePlan[],MATCH(INDEX(OfficeVariances[],ROW()-ROW(OfficeVariances[[#Headers],[Apr]]),1),INDEX(OfficePlan[],,1),0),MATCH(OfficeVariances[[#Headers],[Apr]],OfficePlan[#Headers],0))-INDEX(OfficeActual[],MATCH(INDEX(OfficeVariances[],ROW()-ROW(OfficeVariances[[#Headers],[Apr]]),1),INDEX(OfficePlan[],,1),0),MATCH(OfficeVariances[[#Headers],[Apr]],OfficeActual[#Headers],0))</calculatedColumnFormula>
    </tableColumn>
    <tableColumn id="6" name="May" totalsRowFunction="sum" dataDxfId="107" totalsRowDxfId="106">
      <calculatedColumnFormula>INDEX(OfficePlan[],MATCH(INDEX(OfficeVariances[],ROW()-ROW(OfficeVariances[[#Headers],[May]]),1),INDEX(OfficePlan[],,1),0),MATCH(OfficeVariances[[#Headers],[May]],OfficePlan[#Headers],0))-INDEX(OfficeActual[],MATCH(INDEX(OfficeVariances[],ROW()-ROW(OfficeVariances[[#Headers],[May]]),1),INDEX(OfficePlan[],,1),0),MATCH(OfficeVariances[[#Headers],[May]],OfficeActual[#Headers],0))</calculatedColumnFormula>
    </tableColumn>
    <tableColumn id="7" name="Jun" totalsRowFunction="sum" dataDxfId="105" totalsRowDxfId="104">
      <calculatedColumnFormula>INDEX(OfficePlan[],MATCH(INDEX(OfficeVariances[],ROW()-ROW(OfficeVariances[[#Headers],[Jun]]),1),INDEX(OfficePlan[],,1),0),MATCH(OfficeVariances[[#Headers],[Jun]],OfficePlan[#Headers],0))-INDEX(OfficeActual[],MATCH(INDEX(OfficeVariances[],ROW()-ROW(OfficeVariances[[#Headers],[Jun]]),1),INDEX(OfficePlan[],,1),0),MATCH(OfficeVariances[[#Headers],[Jun]],OfficeActual[#Headers],0))</calculatedColumnFormula>
    </tableColumn>
    <tableColumn id="8" name="Jul" totalsRowFunction="sum" dataDxfId="103" totalsRowDxfId="102">
      <calculatedColumnFormula>INDEX(OfficePlan[],MATCH(INDEX(OfficeVariances[],ROW()-ROW(OfficeVariances[[#Headers],[Jul]]),1),INDEX(OfficePlan[],,1),0),MATCH(OfficeVariances[[#Headers],[Jul]],OfficePlan[#Headers],0))-INDEX(OfficeActual[],MATCH(INDEX(OfficeVariances[],ROW()-ROW(OfficeVariances[[#Headers],[Jul]]),1),INDEX(OfficePlan[],,1),0),MATCH(OfficeVariances[[#Headers],[Jul]],OfficeActual[#Headers],0))</calculatedColumnFormula>
    </tableColumn>
    <tableColumn id="9" name="Aug" totalsRowFunction="sum" dataDxfId="101" totalsRowDxfId="100">
      <calculatedColumnFormula>INDEX(OfficePlan[],MATCH(INDEX(OfficeVariances[],ROW()-ROW(OfficeVariances[[#Headers],[Aug]]),1),INDEX(OfficePlan[],,1),0),MATCH(OfficeVariances[[#Headers],[Aug]],OfficePlan[#Headers],0))-INDEX(OfficeActual[],MATCH(INDEX(OfficeVariances[],ROW()-ROW(OfficeVariances[[#Headers],[Aug]]),1),INDEX(OfficePlan[],,1),0),MATCH(OfficeVariances[[#Headers],[Aug]],OfficeActual[#Headers],0))</calculatedColumnFormula>
    </tableColumn>
    <tableColumn id="10" name="Sep" totalsRowFunction="sum" dataDxfId="99" totalsRowDxfId="98">
      <calculatedColumnFormula>INDEX(OfficePlan[],MATCH(INDEX(OfficeVariances[],ROW()-ROW(OfficeVariances[[#Headers],[Sep]]),1),INDEX(OfficePlan[],,1),0),MATCH(OfficeVariances[[#Headers],[Sep]],OfficePlan[#Headers],0))-INDEX(OfficeActual[],MATCH(INDEX(OfficeVariances[],ROW()-ROW(OfficeVariances[[#Headers],[Sep]]),1),INDEX(OfficePlan[],,1),0),MATCH(OfficeVariances[[#Headers],[Sep]],OfficeActual[#Headers],0))</calculatedColumnFormula>
    </tableColumn>
    <tableColumn id="11" name="Oct" totalsRowFunction="sum" dataDxfId="97" totalsRowDxfId="96">
      <calculatedColumnFormula>INDEX(OfficePlan[],MATCH(INDEX(OfficeVariances[],ROW()-ROW(OfficeVariances[[#Headers],[Oct]]),1),INDEX(OfficePlan[],,1),0),MATCH(OfficeVariances[[#Headers],[Oct]],OfficePlan[#Headers],0))-INDEX(OfficeActual[],MATCH(INDEX(OfficeVariances[],ROW()-ROW(OfficeVariances[[#Headers],[Oct]]),1),INDEX(OfficePlan[],,1),0),MATCH(OfficeVariances[[#Headers],[Oct]],OfficeActual[#Headers],0))</calculatedColumnFormula>
    </tableColumn>
    <tableColumn id="12" name="Nov" totalsRowFunction="sum" dataDxfId="95" totalsRowDxfId="94">
      <calculatedColumnFormula>INDEX(OfficePlan[],MATCH(INDEX(OfficeVariances[],ROW()-ROW(OfficeVariances[[#Headers],[Nov]]),1),INDEX(OfficePlan[],,1),0),MATCH(OfficeVariances[[#Headers],[Nov]],OfficePlan[#Headers],0))-INDEX(OfficeActual[],MATCH(INDEX(OfficeVariances[],ROW()-ROW(OfficeVariances[[#Headers],[Nov]]),1),INDEX(OfficePlan[],,1),0),MATCH(OfficeVariances[[#Headers],[Nov]],OfficeActual[#Headers],0))</calculatedColumnFormula>
    </tableColumn>
    <tableColumn id="13" name="Dec" totalsRowFunction="sum" dataDxfId="93" totalsRowDxfId="92">
      <calculatedColumnFormula>INDEX(OfficePlan[],MATCH(INDEX(OfficeVariances[],ROW()-ROW(OfficeVariances[[#Headers],[Dec]]),1),INDEX(OfficePlan[],,1),0),MATCH(OfficeVariances[[#Headers],[Dec]],OfficePlan[#Headers],0))-INDEX(OfficeActual[],MATCH(INDEX(OfficeVariances[],ROW()-ROW(OfficeVariances[[#Headers],[Dec]]),1),INDEX(OfficePlan[],,1),0),MATCH(OfficeVariances[[#Headers],[Dec]],OfficeActual[#Headers],0))</calculatedColumnFormula>
    </tableColumn>
    <tableColumn id="14" name="YEAR" totalsRowFunction="sum" dataDxfId="91" totalsRowDxfId="90">
      <calculatedColumnFormula>SUM(OfficeVariances[[#This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office costs per month is auto calculated in this table"/>
    </ext>
  </extLst>
</table>
</file>

<file path=xl/tables/table13.xml><?xml version="1.0" encoding="utf-8"?>
<table xmlns="http://schemas.openxmlformats.org/spreadsheetml/2006/main" id="11" name="MarketingVariances" displayName="MarketingVariances" ref="B21:O28" totalsRowCount="1" headerRowDxfId="89" totalsRowDxfId="86" headerRowBorderDxfId="88" tableBorderDxfId="87" totalsRowBorderDxfId="85">
  <autoFilter ref="B21:O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arketing Costs" totalsRowLabel="Subtotal" dataDxfId="84" totalsRowDxfId="83"/>
    <tableColumn id="2" name="Jan" totalsRowFunction="sum" dataDxfId="82" totalsRowDxfId="81">
      <calculatedColumnFormula>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calculatedColumnFormula>
    </tableColumn>
    <tableColumn id="3" name="Feb" totalsRowFunction="sum" dataDxfId="80" totalsRowDxfId="79">
      <calculatedColumnFormula>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calculatedColumnFormula>
    </tableColumn>
    <tableColumn id="4" name="Mar" totalsRowFunction="sum" dataDxfId="78" totalsRowDxfId="77">
      <calculatedColumnFormula>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calculatedColumnFormula>
    </tableColumn>
    <tableColumn id="5" name="Apr" totalsRowFunction="sum" dataDxfId="76" totalsRowDxfId="75">
      <calculatedColumnFormula>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calculatedColumnFormula>
    </tableColumn>
    <tableColumn id="6" name="May" totalsRowFunction="sum" dataDxfId="74" totalsRowDxfId="73">
      <calculatedColumnFormula>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calculatedColumnFormula>
    </tableColumn>
    <tableColumn id="7" name="Jun" totalsRowFunction="sum" dataDxfId="72" totalsRowDxfId="71">
      <calculatedColumnFormula>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calculatedColumnFormula>
    </tableColumn>
    <tableColumn id="8" name="Jul" totalsRowFunction="sum" dataDxfId="70" totalsRowDxfId="69">
      <calculatedColumnFormula>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calculatedColumnFormula>
    </tableColumn>
    <tableColumn id="9" name="Aug" totalsRowFunction="sum" dataDxfId="68" totalsRowDxfId="67">
      <calculatedColumnFormula>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calculatedColumnFormula>
    </tableColumn>
    <tableColumn id="10" name="Sep" totalsRowFunction="sum" dataDxfId="66" totalsRowDxfId="65">
      <calculatedColumnFormula>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calculatedColumnFormula>
    </tableColumn>
    <tableColumn id="11" name="Oct" totalsRowFunction="sum" dataDxfId="64" totalsRowDxfId="63">
      <calculatedColumnFormula>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calculatedColumnFormula>
    </tableColumn>
    <tableColumn id="12" name="Nov" totalsRowFunction="sum" dataDxfId="62" totalsRowDxfId="61">
      <calculatedColumnFormula>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calculatedColumnFormula>
    </tableColumn>
    <tableColumn id="13" name="Dec" totalsRowFunction="sum" dataDxfId="60" totalsRowDxfId="59">
      <calculatedColumnFormula>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calculatedColumnFormula>
    </tableColumn>
    <tableColumn id="14" name="YEAR" totalsRowFunction="sum" dataDxfId="58" totalsRowDxfId="57">
      <calculatedColumnFormula>SUM(MarketingVariances[[#This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marketing costs per month is auto calculated in this table"/>
    </ext>
  </extLst>
</table>
</file>

<file path=xl/tables/table14.xml><?xml version="1.0" encoding="utf-8"?>
<table xmlns="http://schemas.openxmlformats.org/spreadsheetml/2006/main" id="12" name="TrainingAndTravelVariances" displayName="TrainingAndTravelVariances" ref="B30:O33" totalsRowCount="1" headerRowDxfId="56" totalsRowDxfId="53" headerRowBorderDxfId="55" tableBorderDxfId="54" totalsRowBorderDxfId="52">
  <autoFilter ref="B30:O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raining/Travel" totalsRowLabel="Subtotal" dataDxfId="51" totalsRowDxfId="50"/>
    <tableColumn id="2" name="Jan" totalsRowFunction="sum" dataDxfId="49" totalsRowDxfId="48">
      <calculatedColumnFormula>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calculatedColumnFormula>
    </tableColumn>
    <tableColumn id="3" name="Feb" totalsRowFunction="sum" dataDxfId="47" totalsRowDxfId="46">
      <calculatedColumnFormula>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calculatedColumnFormula>
    </tableColumn>
    <tableColumn id="4" name="Mar" totalsRowFunction="sum" dataDxfId="45" totalsRowDxfId="44">
      <calculatedColumnFormula>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calculatedColumnFormula>
    </tableColumn>
    <tableColumn id="5" name="Apr" totalsRowFunction="sum" dataDxfId="43" totalsRowDxfId="42">
      <calculatedColumnFormula>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calculatedColumnFormula>
    </tableColumn>
    <tableColumn id="6" name="May" totalsRowFunction="sum" dataDxfId="41" totalsRowDxfId="40">
      <calculatedColumnFormula>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calculatedColumnFormula>
    </tableColumn>
    <tableColumn id="7" name="Jun" totalsRowFunction="sum" dataDxfId="39" totalsRowDxfId="38">
      <calculatedColumnFormula>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calculatedColumnFormula>
    </tableColumn>
    <tableColumn id="8" name="Jul" totalsRowFunction="sum" dataDxfId="37" totalsRowDxfId="36">
      <calculatedColumnFormula>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calculatedColumnFormula>
    </tableColumn>
    <tableColumn id="9" name="Aug" totalsRowFunction="sum" dataDxfId="35" totalsRowDxfId="34">
      <calculatedColumnFormula>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calculatedColumnFormula>
    </tableColumn>
    <tableColumn id="10" name="Sep" totalsRowFunction="sum" dataDxfId="33" totalsRowDxfId="32">
      <calculatedColumnFormula>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calculatedColumnFormula>
    </tableColumn>
    <tableColumn id="11" name="Oct" totalsRowFunction="sum" dataDxfId="31" totalsRowDxfId="30">
      <calculatedColumnFormula>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calculatedColumnFormula>
    </tableColumn>
    <tableColumn id="12" name="Nov" totalsRowFunction="sum" dataDxfId="29" totalsRowDxfId="28">
      <calculatedColumnFormula>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calculatedColumnFormula>
    </tableColumn>
    <tableColumn id="13" name="Dec" totalsRowFunction="sum" dataDxfId="27" totalsRowDxfId="26">
      <calculatedColumnFormula>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calculatedColumnFormula>
    </tableColumn>
    <tableColumn id="14" name="YEAR" totalsRowFunction="sum" dataDxfId="25" totalsRowDxfId="24">
      <calculatedColumnFormula>SUM(TrainingAndTravelVariances[[#This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training and travel costs per month is auto calculated in this table"/>
    </ext>
  </extLst>
</table>
</file>

<file path=xl/tables/table15.xml><?xml version="1.0" encoding="utf-8"?>
<table xmlns="http://schemas.openxmlformats.org/spreadsheetml/2006/main" id="16" name="TotalVariances" displayName="TotalVariances" ref="B35:O37" totalsRowShown="0" headerRowDxfId="23" dataDxfId="22" tableBorderDxfId="21" headerRowCellStyle="Heading 3">
  <autoFilter ref="B35:O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OTALS" dataDxfId="20"/>
    <tableColumn id="2" name="Jan" dataDxfId="19">
      <calculatedColumnFormula>SUM($C35:C$36)</calculatedColumnFormula>
    </tableColumn>
    <tableColumn id="3" name="Feb" dataDxfId="18">
      <calculatedColumnFormula>SUM($C35:D$36)</calculatedColumnFormula>
    </tableColumn>
    <tableColumn id="4" name="Mar" dataDxfId="17">
      <calculatedColumnFormula>SUM($C35:E$36)</calculatedColumnFormula>
    </tableColumn>
    <tableColumn id="5" name="Apr" dataDxfId="16">
      <calculatedColumnFormula>SUM($C35:F$36)</calculatedColumnFormula>
    </tableColumn>
    <tableColumn id="6" name="May" dataDxfId="15">
      <calculatedColumnFormula>SUM($C35:G$36)</calculatedColumnFormula>
    </tableColumn>
    <tableColumn id="7" name="Jun" dataDxfId="14">
      <calculatedColumnFormula>SUM($C35:H$36)</calculatedColumnFormula>
    </tableColumn>
    <tableColumn id="8" name="Jul" dataDxfId="13">
      <calculatedColumnFormula>SUM($C35:I$36)</calculatedColumnFormula>
    </tableColumn>
    <tableColumn id="9" name="Aug" dataDxfId="12">
      <calculatedColumnFormula>SUM($C35:J$36)</calculatedColumnFormula>
    </tableColumn>
    <tableColumn id="10" name="Sep" dataDxfId="11">
      <calculatedColumnFormula>SUM($C35:K$36)</calculatedColumnFormula>
    </tableColumn>
    <tableColumn id="11" name="Oct" dataDxfId="10">
      <calculatedColumnFormula>SUM($C35:L$36)</calculatedColumnFormula>
    </tableColumn>
    <tableColumn id="12" name="Nov" dataDxfId="9">
      <calculatedColumnFormula>SUM($C35:M$36)</calculatedColumnFormula>
    </tableColumn>
    <tableColumn id="13" name="Dec" dataDxfId="8">
      <calculatedColumnFormula>SUM($C35:N$36)</calculatedColumnFormula>
    </tableColumn>
    <tableColumn id="14" name="Year" dataDxfId="7"/>
  </tableColumns>
  <tableStyleInfo showFirstColumn="1" showLastColumn="0" showRowStripes="0" showColumnStripes="0"/>
  <extLst>
    <ext xmlns:x14="http://schemas.microsoft.com/office/spreadsheetml/2009/9/main" uri="{504A1905-F514-4f6f-8877-14C23A59335A}">
      <x14:table altTextSummary="Monthly and Total Expense Variance are auto calculated in this table"/>
    </ext>
  </extLst>
</table>
</file>

<file path=xl/tables/table16.xml><?xml version="1.0" encoding="utf-8"?>
<table xmlns="http://schemas.openxmlformats.org/spreadsheetml/2006/main" id="13" name="Analysis" displayName="Analysis" ref="B5:F10" totalsRowShown="0" dataDxfId="6" tableBorderDxfId="5">
  <autoFilter ref="B5:F10">
    <filterColumn colId="0" hiddenButton="1"/>
    <filterColumn colId="1" hiddenButton="1"/>
    <filterColumn colId="2" hiddenButton="1"/>
    <filterColumn colId="3" hiddenButton="1"/>
    <filterColumn colId="4" hiddenButton="1"/>
  </autoFilter>
  <tableColumns count="5">
    <tableColumn id="1" name="Expense Category" dataDxfId="4"/>
    <tableColumn id="2" name="Planned Expenses" dataDxfId="3"/>
    <tableColumn id="3" name="Actual Expenses" dataDxfId="2"/>
    <tableColumn id="4" name="Expense Variances" dataDxfId="1">
      <calculatedColumnFormula>C6-D6</calculatedColumnFormula>
    </tableColumn>
    <tableColumn id="5" name="Variance Percentage" dataDxfId="0">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id="2" name="MarketingPlan" displayName="MarketingPlan" ref="B21:O28" totalsRowCount="1" headerRowDxfId="402" totalsRowDxfId="399" headerRowBorderDxfId="401" tableBorderDxfId="400" totalsRowBorderDxfId="398">
  <autoFilter ref="B21:O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arketing Costs" totalsRowLabel="Subtotal" dataDxfId="397" totalsRowDxfId="396"/>
    <tableColumn id="2" name="Jan" totalsRowFunction="sum" dataDxfId="395" totalsRowDxfId="394"/>
    <tableColumn id="3" name="Feb" totalsRowFunction="sum" dataDxfId="393" totalsRowDxfId="392"/>
    <tableColumn id="4" name="Mar" totalsRowFunction="sum" dataDxfId="391" totalsRowDxfId="390"/>
    <tableColumn id="5" name="Apr" totalsRowFunction="sum" dataDxfId="389" totalsRowDxfId="388"/>
    <tableColumn id="6" name="May" totalsRowFunction="sum" dataDxfId="387" totalsRowDxfId="386"/>
    <tableColumn id="7" name="Jun" totalsRowFunction="sum" dataDxfId="385" totalsRowDxfId="384"/>
    <tableColumn id="8" name="Jul" totalsRowFunction="sum" dataDxfId="383" totalsRowDxfId="382"/>
    <tableColumn id="9" name="Aug" totalsRowFunction="sum" dataDxfId="381" totalsRowDxfId="380"/>
    <tableColumn id="10" name="Sep" totalsRowFunction="sum" dataDxfId="379" totalsRowDxfId="378"/>
    <tableColumn id="11" name="Oct" totalsRowFunction="sum" dataDxfId="377" totalsRowDxfId="376"/>
    <tableColumn id="12" name="Nov" totalsRowFunction="sum" dataDxfId="375" totalsRowDxfId="374"/>
    <tableColumn id="13" name="Dec" totalsRowFunction="sum" dataDxfId="373" totalsRowDxfId="372"/>
    <tableColumn id="14" name="YEAR" totalsRowFunction="sum" dataDxfId="371" totalsRowDxfId="370">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marketing costs in this table. Total is auto calculated at the end"/>
    </ext>
  </extLst>
</table>
</file>

<file path=xl/tables/table3.xml><?xml version="1.0" encoding="utf-8"?>
<table xmlns="http://schemas.openxmlformats.org/spreadsheetml/2006/main" id="3" name="TrainingAndTravelPlan" displayName="TrainingAndTravelPlan" ref="B30:O33" totalsRowCount="1" headerRowDxfId="369" totalsRowDxfId="366" headerRowBorderDxfId="368" tableBorderDxfId="367" totalsRowBorderDxfId="365">
  <autoFilter ref="B30:O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raining/Travel" totalsRowLabel="Subtotal" dataDxfId="364" totalsRowDxfId="363"/>
    <tableColumn id="2" name="Jan" totalsRowFunction="sum" dataDxfId="362" totalsRowDxfId="361"/>
    <tableColumn id="3" name="Feb" totalsRowFunction="sum" dataDxfId="360" totalsRowDxfId="359"/>
    <tableColumn id="4" name="Mar" totalsRowFunction="sum" dataDxfId="358" totalsRowDxfId="357"/>
    <tableColumn id="5" name="Apr" totalsRowFunction="sum" dataDxfId="356" totalsRowDxfId="355"/>
    <tableColumn id="6" name="May" totalsRowFunction="sum" dataDxfId="354" totalsRowDxfId="353"/>
    <tableColumn id="7" name="Jun" totalsRowFunction="sum" dataDxfId="352" totalsRowDxfId="351"/>
    <tableColumn id="8" name="Jul" totalsRowFunction="sum" dataDxfId="350" totalsRowDxfId="349"/>
    <tableColumn id="9" name="Aug" totalsRowFunction="sum" dataDxfId="348" totalsRowDxfId="347"/>
    <tableColumn id="10" name="Sep" totalsRowFunction="sum" dataDxfId="346" totalsRowDxfId="345"/>
    <tableColumn id="11" name="Oct" totalsRowFunction="sum" dataDxfId="344" totalsRowDxfId="343"/>
    <tableColumn id="12" name="Nov" totalsRowFunction="sum" dataDxfId="342" totalsRowDxfId="341"/>
    <tableColumn id="13" name="Dec" totalsRowFunction="sum" dataDxfId="340" totalsRowDxfId="339"/>
    <tableColumn id="14" name="YEAR" totalsRowFunction="sum" dataDxfId="338" totalsRowDxfId="337">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training and traveling costs in this table. Total is auto calculated at the end"/>
    </ext>
  </extLst>
</table>
</file>

<file path=xl/tables/table4.xml><?xml version="1.0" encoding="utf-8"?>
<table xmlns="http://schemas.openxmlformats.org/spreadsheetml/2006/main" id="7" name="EmployeePlan" displayName="EmployeePlan" ref="B5:O8" totalsRowCount="1" headerRowDxfId="336" totalsRowDxfId="333" headerRowBorderDxfId="335" tableBorderDxfId="334" totalsRowBorderDxfId="332">
  <autoFilter ref="B5:O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mployee Costs" totalsRowLabel="Subtotal" dataDxfId="331" totalsRowDxfId="330"/>
    <tableColumn id="2" name="Jan" totalsRowFunction="sum" dataDxfId="329" totalsRowDxfId="328">
      <calculatedColumnFormula>C5*0.27</calculatedColumnFormula>
    </tableColumn>
    <tableColumn id="3" name="Feb" totalsRowFunction="sum" dataDxfId="327" totalsRowDxfId="326">
      <calculatedColumnFormula>D5*0.27</calculatedColumnFormula>
    </tableColumn>
    <tableColumn id="4" name="Mar" totalsRowFunction="sum" dataDxfId="325" totalsRowDxfId="324">
      <calculatedColumnFormula>E5*0.27</calculatedColumnFormula>
    </tableColumn>
    <tableColumn id="5" name="Apr" totalsRowFunction="sum" dataDxfId="323" totalsRowDxfId="322">
      <calculatedColumnFormula>F5*0.27</calculatedColumnFormula>
    </tableColumn>
    <tableColumn id="6" name="May" totalsRowFunction="sum" dataDxfId="321" totalsRowDxfId="320">
      <calculatedColumnFormula>G5*0.27</calculatedColumnFormula>
    </tableColumn>
    <tableColumn id="7" name="Jun" totalsRowFunction="sum" dataDxfId="319" totalsRowDxfId="318">
      <calculatedColumnFormula>H5*0.27</calculatedColumnFormula>
    </tableColumn>
    <tableColumn id="8" name="Jul" totalsRowFunction="sum" dataDxfId="317" totalsRowDxfId="316">
      <calculatedColumnFormula>I5*0.27</calculatedColumnFormula>
    </tableColumn>
    <tableColumn id="9" name="Aug" totalsRowFunction="sum" dataDxfId="315" totalsRowDxfId="314">
      <calculatedColumnFormula>J5*0.27</calculatedColumnFormula>
    </tableColumn>
    <tableColumn id="10" name="Sep" totalsRowFunction="sum" dataDxfId="313" totalsRowDxfId="312">
      <calculatedColumnFormula>K5*0.27</calculatedColumnFormula>
    </tableColumn>
    <tableColumn id="11" name="Oct" totalsRowFunction="sum" dataDxfId="311" totalsRowDxfId="310">
      <calculatedColumnFormula>L5*0.27</calculatedColumnFormula>
    </tableColumn>
    <tableColumn id="12" name="Nov" totalsRowFunction="sum" dataDxfId="309" totalsRowDxfId="308">
      <calculatedColumnFormula>M5*0.27</calculatedColumnFormula>
    </tableColumn>
    <tableColumn id="13" name="Dec" totalsRowFunction="sum" dataDxfId="307" totalsRowDxfId="306">
      <calculatedColumnFormula>N5*0.27</calculatedColumnFormula>
    </tableColumn>
    <tableColumn id="14" name="YEAR" totalsRowFunction="sum" dataDxfId="305" totalsRowDxfId="304">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Enter planned monthly employee costs in this table. Total is auto calculated at the end"/>
    </ext>
  </extLst>
</table>
</file>

<file path=xl/tables/table5.xml><?xml version="1.0" encoding="utf-8"?>
<table xmlns="http://schemas.openxmlformats.org/spreadsheetml/2006/main" id="14" name="PlannedTotal" displayName="PlannedTotal" ref="B35:O37" totalsRowShown="0" headerRowDxfId="303" dataDxfId="301" headerRowBorderDxfId="302" tableBorderDxfId="300" totalsRowBorderDxfId="299" headerRowCellStyle="Heading 3">
  <autoFilter ref="B35:O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OTALS" dataDxfId="298"/>
    <tableColumn id="2" name="Jan" dataDxfId="297">
      <calculatedColumnFormula>SUM($C35:C$36)</calculatedColumnFormula>
    </tableColumn>
    <tableColumn id="3" name="Feb" dataDxfId="296">
      <calculatedColumnFormula>SUM($C35:D$36)</calculatedColumnFormula>
    </tableColumn>
    <tableColumn id="4" name="Mar" dataDxfId="295">
      <calculatedColumnFormula>SUM($C35:E$36)</calculatedColumnFormula>
    </tableColumn>
    <tableColumn id="5" name="Apr" dataDxfId="294">
      <calculatedColumnFormula>SUM($C35:F$36)</calculatedColumnFormula>
    </tableColumn>
    <tableColumn id="6" name="May" dataDxfId="293">
      <calculatedColumnFormula>SUM($C35:G$36)</calculatedColumnFormula>
    </tableColumn>
    <tableColumn id="7" name="Jun" dataDxfId="292">
      <calculatedColumnFormula>SUM($C35:H$36)</calculatedColumnFormula>
    </tableColumn>
    <tableColumn id="8" name="Jul" dataDxfId="291">
      <calculatedColumnFormula>SUM($C35:I$36)</calculatedColumnFormula>
    </tableColumn>
    <tableColumn id="9" name="Aug" dataDxfId="290">
      <calculatedColumnFormula>SUM($C35:J$36)</calculatedColumnFormula>
    </tableColumn>
    <tableColumn id="10" name="Sep" dataDxfId="289">
      <calculatedColumnFormula>SUM($C35:K$36)</calculatedColumnFormula>
    </tableColumn>
    <tableColumn id="11" name="Oct" dataDxfId="288">
      <calculatedColumnFormula>SUM($C35:L$36)</calculatedColumnFormula>
    </tableColumn>
    <tableColumn id="12" name="Nov" dataDxfId="287">
      <calculatedColumnFormula>SUM($C35:M$36)</calculatedColumnFormula>
    </tableColumn>
    <tableColumn id="13" name="Dec" dataDxfId="286">
      <calculatedColumnFormula>SUM($C35:N$36)</calculatedColumnFormula>
    </tableColumn>
    <tableColumn id="14" name="Year" dataDxfId="285"/>
  </tableColumns>
  <tableStyleInfo showFirstColumn="1" showLastColumn="0" showRowStripes="0" showColumnStripes="0"/>
  <extLst>
    <ext xmlns:x14="http://schemas.microsoft.com/office/spreadsheetml/2009/9/main" uri="{504A1905-F514-4f6f-8877-14C23A59335A}">
      <x14:table altTextSummary="Monthly and Total Planned Expenses are auto calculated in this table"/>
    </ext>
  </extLst>
</table>
</file>

<file path=xl/tables/table6.xml><?xml version="1.0" encoding="utf-8"?>
<table xmlns="http://schemas.openxmlformats.org/spreadsheetml/2006/main" id="4" name="OfficeActual" displayName="OfficeActual" ref="B10:O19" totalsRowCount="1" headerRowDxfId="284" totalsRowDxfId="281" headerRowBorderDxfId="283" tableBorderDxfId="282" totalsRowBorderDxfId="280">
  <autoFilter ref="B10: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Office Costs" totalsRowLabel="Subtotal" dataDxfId="279" totalsRowDxfId="278"/>
    <tableColumn id="2" name="Jan" totalsRowFunction="sum" dataDxfId="277" totalsRowDxfId="276"/>
    <tableColumn id="3" name="Feb" totalsRowFunction="sum" dataDxfId="275" totalsRowDxfId="274"/>
    <tableColumn id="4" name="Mar" totalsRowFunction="sum" dataDxfId="273" totalsRowDxfId="272"/>
    <tableColumn id="5" name="Apr" totalsRowFunction="sum" dataDxfId="271" totalsRowDxfId="270"/>
    <tableColumn id="6" name="May" totalsRowFunction="sum" dataDxfId="269" totalsRowDxfId="268"/>
    <tableColumn id="7" name="Jun" totalsRowFunction="sum" dataDxfId="267" totalsRowDxfId="266"/>
    <tableColumn id="8" name="Jul" totalsRowFunction="sum" dataDxfId="265" totalsRowDxfId="264"/>
    <tableColumn id="9" name="Aug" totalsRowFunction="sum" dataDxfId="263" totalsRowDxfId="262"/>
    <tableColumn id="10" name="Sep" totalsRowFunction="sum" dataDxfId="261" totalsRowDxfId="260"/>
    <tableColumn id="11" name="Oct" totalsRowFunction="sum" dataDxfId="259" totalsRowDxfId="258"/>
    <tableColumn id="12" name="Nov" totalsRowFunction="sum" dataDxfId="257" totalsRowDxfId="256"/>
    <tableColumn id="13" name="Dec" totalsRowFunction="sum" dataDxfId="255" totalsRowDxfId="254"/>
    <tableColumn id="14" name="YEAR" totalsRowFunction="sum" dataDxfId="253" totalsRowDxfId="252">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office costs in this table. Total is auto calculated at the end"/>
    </ext>
  </extLst>
</table>
</file>

<file path=xl/tables/table7.xml><?xml version="1.0" encoding="utf-8"?>
<table xmlns="http://schemas.openxmlformats.org/spreadsheetml/2006/main" id="5" name="MarketingActual" displayName="MarketingActual" ref="B21:O28" totalsRowCount="1" headerRowDxfId="251" totalsRowDxfId="248" headerRowBorderDxfId="250" tableBorderDxfId="249" totalsRowBorderDxfId="247">
  <autoFilter ref="B21:O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arketing Costs" totalsRowLabel="Subtotal" dataDxfId="246" totalsRowDxfId="245"/>
    <tableColumn id="2" name="Jan" totalsRowFunction="sum" dataDxfId="244" totalsRowDxfId="243"/>
    <tableColumn id="3" name="Feb" totalsRowFunction="sum" dataDxfId="242" totalsRowDxfId="241"/>
    <tableColumn id="4" name="Mar" totalsRowFunction="sum" dataDxfId="240" totalsRowDxfId="239"/>
    <tableColumn id="5" name="Apr" totalsRowFunction="sum" dataDxfId="238" totalsRowDxfId="237"/>
    <tableColumn id="6" name="May" totalsRowFunction="sum" dataDxfId="236" totalsRowDxfId="235"/>
    <tableColumn id="7" name="Jun" totalsRowFunction="sum" dataDxfId="234" totalsRowDxfId="233"/>
    <tableColumn id="8" name="Jul" totalsRowFunction="sum" dataDxfId="232" totalsRowDxfId="231"/>
    <tableColumn id="9" name="Aug" totalsRowFunction="sum" dataDxfId="230" totalsRowDxfId="229"/>
    <tableColumn id="10" name="Sep" totalsRowFunction="sum" dataDxfId="228" totalsRowDxfId="227"/>
    <tableColumn id="11" name="Oct" totalsRowFunction="sum" dataDxfId="226" totalsRowDxfId="225"/>
    <tableColumn id="12" name="Nov" totalsRowFunction="sum" dataDxfId="224" totalsRowDxfId="223"/>
    <tableColumn id="13" name="Dec" totalsRowFunction="sum" dataDxfId="222" totalsRowDxfId="221"/>
    <tableColumn id="14" name="YEAR" totalsRowFunction="sum" dataDxfId="220" totalsRowDxfId="219">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marketing costs in this table. Total is auto calculated at the end"/>
    </ext>
  </extLst>
</table>
</file>

<file path=xl/tables/table8.xml><?xml version="1.0" encoding="utf-8"?>
<table xmlns="http://schemas.openxmlformats.org/spreadsheetml/2006/main" id="6" name="TrainingAndTravelActual" displayName="TrainingAndTravelActual" ref="B30:O33" totalsRowCount="1" headerRowDxfId="218" totalsRowDxfId="215" headerRowBorderDxfId="217" tableBorderDxfId="216" totalsRowBorderDxfId="214">
  <autoFilter ref="B30:O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Training/Travel" totalsRowLabel="Subtotal" dataDxfId="213" totalsRowDxfId="212"/>
    <tableColumn id="2" name="Jan" totalsRowFunction="sum" dataDxfId="211" totalsRowDxfId="210"/>
    <tableColumn id="3" name="Feb" totalsRowFunction="sum" dataDxfId="209" totalsRowDxfId="208"/>
    <tableColumn id="4" name="Mar" totalsRowFunction="sum" dataDxfId="207" totalsRowDxfId="206"/>
    <tableColumn id="5" name="Apr" totalsRowFunction="sum" dataDxfId="205" totalsRowDxfId="204"/>
    <tableColumn id="6" name="May" totalsRowFunction="sum" dataDxfId="203" totalsRowDxfId="202"/>
    <tableColumn id="7" name="Jun" totalsRowFunction="sum" dataDxfId="201" totalsRowDxfId="200"/>
    <tableColumn id="8" name="Jul" totalsRowFunction="sum" dataDxfId="199" totalsRowDxfId="198"/>
    <tableColumn id="9" name="Aug" totalsRowFunction="sum" dataDxfId="197" totalsRowDxfId="196"/>
    <tableColumn id="10" name="Sep" totalsRowFunction="sum" dataDxfId="195" totalsRowDxfId="194"/>
    <tableColumn id="11" name="Oct" totalsRowFunction="sum" dataDxfId="193" totalsRowDxfId="192"/>
    <tableColumn id="12" name="Nov" totalsRowFunction="sum" dataDxfId="191" totalsRowDxfId="190"/>
    <tableColumn id="13" name="Dec" totalsRowFunction="sum" dataDxfId="189" totalsRowDxfId="188"/>
    <tableColumn id="14" name="YEAR" totalsRowFunction="sum" dataDxfId="187" totalsRowDxfId="186">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training and traveling costs in this table. Total is auto calculated at the end"/>
    </ext>
  </extLst>
</table>
</file>

<file path=xl/tables/table9.xml><?xml version="1.0" encoding="utf-8"?>
<table xmlns="http://schemas.openxmlformats.org/spreadsheetml/2006/main" id="8" name="EmployeeActual" displayName="EmployeeActual" ref="B5:O8" totalsRowCount="1" headerRowDxfId="185" totalsRowDxfId="182" headerRowBorderDxfId="184" tableBorderDxfId="183" totalsRowBorderDxfId="181">
  <autoFilter ref="B5:O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mployee Costs" totalsRowLabel="Subtotal" dataDxfId="180" totalsRowDxfId="179"/>
    <tableColumn id="2" name="Jan" totalsRowFunction="sum" dataDxfId="178" totalsRowDxfId="177">
      <calculatedColumnFormula>C5*0.27</calculatedColumnFormula>
    </tableColumn>
    <tableColumn id="3" name="Feb" totalsRowFunction="sum" dataDxfId="176" totalsRowDxfId="175">
      <calculatedColumnFormula>D5*0.27</calculatedColumnFormula>
    </tableColumn>
    <tableColumn id="4" name="Mar" totalsRowFunction="sum" dataDxfId="174" totalsRowDxfId="173">
      <calculatedColumnFormula>E5*0.27</calculatedColumnFormula>
    </tableColumn>
    <tableColumn id="5" name="Apr" totalsRowFunction="sum" dataDxfId="172" totalsRowDxfId="171">
      <calculatedColumnFormula>F5*0.27</calculatedColumnFormula>
    </tableColumn>
    <tableColumn id="6" name="May" totalsRowFunction="sum" dataDxfId="170" totalsRowDxfId="169">
      <calculatedColumnFormula>G5*0.27</calculatedColumnFormula>
    </tableColumn>
    <tableColumn id="7" name="Jun" totalsRowFunction="sum" dataDxfId="168" totalsRowDxfId="167">
      <calculatedColumnFormula>H5*0.27</calculatedColumnFormula>
    </tableColumn>
    <tableColumn id="8" name="Jul" totalsRowFunction="sum" dataDxfId="166" totalsRowDxfId="165"/>
    <tableColumn id="9" name="Aug" totalsRowFunction="sum" dataDxfId="164" totalsRowDxfId="163"/>
    <tableColumn id="10" name="Sep" totalsRowFunction="sum" dataDxfId="162" totalsRowDxfId="161"/>
    <tableColumn id="11" name="Oct" totalsRowFunction="sum" dataDxfId="160" totalsRowDxfId="159"/>
    <tableColumn id="12" name="Nov" totalsRowFunction="sum" dataDxfId="158" totalsRowDxfId="157"/>
    <tableColumn id="13" name="Dec" totalsRowFunction="sum" dataDxfId="156" totalsRowDxfId="155"/>
    <tableColumn id="14" name="YEAR" totalsRowFunction="sum" dataDxfId="154" totalsRowDxfId="153">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employee costs in this table. Total is auto calculated at the end"/>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B8"/>
  <sheetViews>
    <sheetView tabSelected="1" workbookViewId="0"/>
  </sheetViews>
  <sheetFormatPr defaultRowHeight="12.75" x14ac:dyDescent="0.2"/>
  <cols>
    <col min="1" max="1" width="2.7109375" customWidth="1"/>
    <col min="2" max="2" width="75.42578125" customWidth="1"/>
    <col min="3" max="3" width="2.7109375" customWidth="1"/>
  </cols>
  <sheetData>
    <row r="1" spans="2:2" s="42" customFormat="1" ht="30" customHeight="1" x14ac:dyDescent="0.2">
      <c r="B1" s="43" t="s">
        <v>67</v>
      </c>
    </row>
    <row r="2" spans="2:2" ht="36.75" customHeight="1" x14ac:dyDescent="0.2">
      <c r="B2" s="55" t="s">
        <v>68</v>
      </c>
    </row>
    <row r="3" spans="2:2" ht="30" customHeight="1" x14ac:dyDescent="0.2">
      <c r="B3" s="55" t="s">
        <v>69</v>
      </c>
    </row>
    <row r="4" spans="2:2" ht="40.5" customHeight="1" x14ac:dyDescent="0.2">
      <c r="B4" s="55" t="s">
        <v>70</v>
      </c>
    </row>
    <row r="5" spans="2:2" ht="36" customHeight="1" x14ac:dyDescent="0.2">
      <c r="B5" s="55" t="s">
        <v>71</v>
      </c>
    </row>
    <row r="6" spans="2:2" ht="36" customHeight="1" x14ac:dyDescent="0.2">
      <c r="B6" s="57" t="s">
        <v>72</v>
      </c>
    </row>
    <row r="7" spans="2:2" ht="53.25" customHeight="1" x14ac:dyDescent="0.2">
      <c r="B7" s="55" t="s">
        <v>73</v>
      </c>
    </row>
    <row r="8" spans="2:2" ht="40.5" customHeight="1" x14ac:dyDescent="0.25">
      <c r="B8" s="56" t="s">
        <v>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A1:T38"/>
  <sheetViews>
    <sheetView showGridLines="0" zoomScaleNormal="100" workbookViewId="0"/>
  </sheetViews>
  <sheetFormatPr defaultColWidth="9.140625" defaultRowHeight="21" customHeight="1" x14ac:dyDescent="0.3"/>
  <cols>
    <col min="1" max="1" width="4.7109375" style="1" customWidth="1"/>
    <col min="2" max="2" width="33.42578125" style="1" customWidth="1"/>
    <col min="3" max="14" width="14.2851562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46" t="s">
        <v>75</v>
      </c>
      <c r="B1" s="11"/>
      <c r="C1" s="11"/>
      <c r="D1" s="11"/>
      <c r="E1" s="11"/>
      <c r="F1" s="8"/>
      <c r="G1" s="8"/>
      <c r="H1" s="8"/>
      <c r="I1" s="8"/>
      <c r="J1" s="8"/>
      <c r="K1" s="8"/>
      <c r="L1" s="8"/>
      <c r="M1" s="8"/>
      <c r="N1" s="8"/>
      <c r="O1" s="8"/>
      <c r="P1" s="94" t="s">
        <v>47</v>
      </c>
    </row>
    <row r="2" spans="1:20" ht="45" customHeight="1" x14ac:dyDescent="0.35">
      <c r="A2" s="44" t="s">
        <v>76</v>
      </c>
      <c r="B2" s="127" t="s">
        <v>49</v>
      </c>
      <c r="C2" s="127"/>
      <c r="D2" s="127"/>
      <c r="E2" s="12"/>
      <c r="F2" s="9"/>
      <c r="G2" s="9"/>
      <c r="H2" s="9"/>
      <c r="I2" s="9"/>
      <c r="J2" s="9"/>
      <c r="K2" s="124" t="s">
        <v>0</v>
      </c>
      <c r="L2" s="124"/>
      <c r="M2" s="124"/>
      <c r="N2" s="123" t="s">
        <v>66</v>
      </c>
      <c r="O2" s="123"/>
      <c r="P2" s="8"/>
    </row>
    <row r="3" spans="1:20" ht="30" customHeight="1" x14ac:dyDescent="0.3">
      <c r="A3" s="44" t="s">
        <v>83</v>
      </c>
      <c r="B3" s="127"/>
      <c r="C3" s="127"/>
      <c r="D3" s="127"/>
      <c r="E3" s="13"/>
      <c r="F3" s="10"/>
      <c r="G3" s="10"/>
      <c r="H3" s="10"/>
      <c r="I3" s="10"/>
      <c r="J3" s="10"/>
      <c r="K3" s="128" t="s">
        <v>48</v>
      </c>
      <c r="L3" s="128"/>
      <c r="M3" s="128"/>
      <c r="N3" s="123"/>
      <c r="O3" s="123"/>
      <c r="P3" s="8"/>
    </row>
    <row r="4" spans="1:20" s="14" customFormat="1" ht="49.5" customHeight="1" x14ac:dyDescent="0.3">
      <c r="A4" s="45" t="s">
        <v>84</v>
      </c>
      <c r="B4" s="30" t="s">
        <v>50</v>
      </c>
      <c r="C4" s="31" t="s">
        <v>51</v>
      </c>
      <c r="D4" s="31" t="s">
        <v>52</v>
      </c>
      <c r="E4" s="32" t="s">
        <v>53</v>
      </c>
      <c r="F4" s="31" t="s">
        <v>54</v>
      </c>
      <c r="G4" s="31" t="s">
        <v>55</v>
      </c>
      <c r="H4" s="31" t="s">
        <v>56</v>
      </c>
      <c r="I4" s="32" t="s">
        <v>57</v>
      </c>
      <c r="J4" s="31" t="s">
        <v>58</v>
      </c>
      <c r="K4" s="31" t="s">
        <v>59</v>
      </c>
      <c r="L4" s="31" t="s">
        <v>60</v>
      </c>
      <c r="M4" s="31" t="s">
        <v>61</v>
      </c>
      <c r="N4" s="32" t="s">
        <v>62</v>
      </c>
      <c r="O4" s="31" t="s">
        <v>14</v>
      </c>
      <c r="R4" s="121" t="s">
        <v>82</v>
      </c>
      <c r="S4" s="122"/>
      <c r="T4" s="122"/>
    </row>
    <row r="5" spans="1:20" ht="24.95" customHeight="1" thickBot="1" x14ac:dyDescent="0.35">
      <c r="A5" s="45" t="s">
        <v>85</v>
      </c>
      <c r="B5" s="58" t="s">
        <v>15</v>
      </c>
      <c r="C5" s="92" t="s">
        <v>2</v>
      </c>
      <c r="D5" s="89" t="s">
        <v>3</v>
      </c>
      <c r="E5" s="90" t="s">
        <v>4</v>
      </c>
      <c r="F5" s="89" t="s">
        <v>5</v>
      </c>
      <c r="G5" s="89" t="s">
        <v>6</v>
      </c>
      <c r="H5" s="89" t="s">
        <v>7</v>
      </c>
      <c r="I5" s="89" t="s">
        <v>8</v>
      </c>
      <c r="J5" s="89" t="s">
        <v>9</v>
      </c>
      <c r="K5" s="89" t="s">
        <v>10</v>
      </c>
      <c r="L5" s="89" t="s">
        <v>11</v>
      </c>
      <c r="M5" s="89" t="s">
        <v>12</v>
      </c>
      <c r="N5" s="89" t="s">
        <v>13</v>
      </c>
      <c r="O5" s="91" t="s">
        <v>14</v>
      </c>
      <c r="R5" s="122"/>
      <c r="S5" s="122"/>
      <c r="T5" s="122"/>
    </row>
    <row r="6" spans="1:20" ht="24.95" customHeight="1" thickBot="1" x14ac:dyDescent="0.35">
      <c r="A6" s="45"/>
      <c r="B6" s="59" t="s">
        <v>16</v>
      </c>
      <c r="C6" s="68">
        <v>85000</v>
      </c>
      <c r="D6" s="61">
        <v>85000</v>
      </c>
      <c r="E6" s="61">
        <v>85000</v>
      </c>
      <c r="F6" s="61">
        <v>87500</v>
      </c>
      <c r="G6" s="61">
        <v>87500</v>
      </c>
      <c r="H6" s="61">
        <v>87500</v>
      </c>
      <c r="I6" s="61">
        <v>87500</v>
      </c>
      <c r="J6" s="61">
        <v>92400</v>
      </c>
      <c r="K6" s="61">
        <v>92400</v>
      </c>
      <c r="L6" s="61">
        <v>92400</v>
      </c>
      <c r="M6" s="61">
        <v>92400</v>
      </c>
      <c r="N6" s="61">
        <v>92400</v>
      </c>
      <c r="O6" s="79">
        <f>SUM(C6:N6)</f>
        <v>1067000</v>
      </c>
      <c r="R6" s="122"/>
      <c r="S6" s="122"/>
      <c r="T6" s="122"/>
    </row>
    <row r="7" spans="1:20" ht="24.95" customHeight="1" thickBot="1" x14ac:dyDescent="0.35">
      <c r="A7" s="45"/>
      <c r="B7" s="59" t="s">
        <v>17</v>
      </c>
      <c r="C7" s="68">
        <f t="shared" ref="C7:N7" si="0">C6*0.27</f>
        <v>22950</v>
      </c>
      <c r="D7" s="61">
        <f t="shared" si="0"/>
        <v>22950</v>
      </c>
      <c r="E7" s="61">
        <f t="shared" si="0"/>
        <v>22950</v>
      </c>
      <c r="F7" s="61">
        <f t="shared" si="0"/>
        <v>23625</v>
      </c>
      <c r="G7" s="61">
        <f t="shared" si="0"/>
        <v>23625</v>
      </c>
      <c r="H7" s="61">
        <f t="shared" si="0"/>
        <v>23625</v>
      </c>
      <c r="I7" s="61">
        <f t="shared" si="0"/>
        <v>23625</v>
      </c>
      <c r="J7" s="61">
        <f t="shared" si="0"/>
        <v>24948</v>
      </c>
      <c r="K7" s="61">
        <f t="shared" si="0"/>
        <v>24948</v>
      </c>
      <c r="L7" s="61">
        <f t="shared" si="0"/>
        <v>24948</v>
      </c>
      <c r="M7" s="61">
        <f t="shared" si="0"/>
        <v>24948</v>
      </c>
      <c r="N7" s="61">
        <f t="shared" si="0"/>
        <v>24948</v>
      </c>
      <c r="O7" s="79">
        <f>SUM(C7:N7)</f>
        <v>288090</v>
      </c>
      <c r="R7" s="122"/>
      <c r="S7" s="122"/>
      <c r="T7" s="122"/>
    </row>
    <row r="8" spans="1:20" ht="24.95" customHeight="1" x14ac:dyDescent="0.3">
      <c r="A8" s="45"/>
      <c r="B8" s="60" t="s">
        <v>18</v>
      </c>
      <c r="C8" s="69">
        <f>SUBTOTAL(109,EmployeePlan[Jan])</f>
        <v>107950</v>
      </c>
      <c r="D8" s="67">
        <f>SUBTOTAL(109,EmployeePlan[Feb])</f>
        <v>107950</v>
      </c>
      <c r="E8" s="67">
        <f>SUBTOTAL(109,EmployeePlan[Mar])</f>
        <v>107950</v>
      </c>
      <c r="F8" s="67">
        <f>SUBTOTAL(109,EmployeePlan[Apr])</f>
        <v>111125</v>
      </c>
      <c r="G8" s="67">
        <f>SUBTOTAL(109,EmployeePlan[May])</f>
        <v>111125</v>
      </c>
      <c r="H8" s="67">
        <f>SUBTOTAL(109,EmployeePlan[Jun])</f>
        <v>111125</v>
      </c>
      <c r="I8" s="67">
        <f>SUBTOTAL(109,EmployeePlan[Jul])</f>
        <v>111125</v>
      </c>
      <c r="J8" s="67">
        <f>SUBTOTAL(109,EmployeePlan[Aug])</f>
        <v>117348</v>
      </c>
      <c r="K8" s="67">
        <f>SUBTOTAL(109,EmployeePlan[Sep])</f>
        <v>117348</v>
      </c>
      <c r="L8" s="67">
        <f>SUBTOTAL(109,EmployeePlan[Oct])</f>
        <v>117348</v>
      </c>
      <c r="M8" s="67">
        <f>SUBTOTAL(109,EmployeePlan[Nov])</f>
        <v>117348</v>
      </c>
      <c r="N8" s="67">
        <f>SUBTOTAL(109,EmployeePlan[Dec])</f>
        <v>117348</v>
      </c>
      <c r="O8" s="83">
        <f>SUBTOTAL(109,EmployeePlan[YEAR])</f>
        <v>1355090</v>
      </c>
      <c r="R8" s="122"/>
      <c r="S8" s="122"/>
      <c r="T8" s="122"/>
    </row>
    <row r="9" spans="1:20" ht="21" customHeight="1" thickBot="1" x14ac:dyDescent="0.35">
      <c r="A9" s="45"/>
      <c r="B9" s="125"/>
      <c r="C9" s="125"/>
      <c r="D9" s="3"/>
      <c r="E9" s="3"/>
      <c r="F9" s="3"/>
      <c r="G9" s="3"/>
      <c r="H9" s="3"/>
      <c r="I9" s="3"/>
      <c r="J9" s="3"/>
      <c r="K9" s="3"/>
      <c r="L9" s="3"/>
      <c r="M9" s="3"/>
      <c r="N9" s="3"/>
      <c r="O9" s="4"/>
      <c r="R9" s="122"/>
      <c r="S9" s="122"/>
      <c r="T9" s="122"/>
    </row>
    <row r="10" spans="1:20" ht="24.95" customHeight="1" thickBot="1" x14ac:dyDescent="0.35">
      <c r="A10" s="45" t="s">
        <v>86</v>
      </c>
      <c r="B10" s="75" t="s">
        <v>19</v>
      </c>
      <c r="C10" s="71" t="s">
        <v>2</v>
      </c>
      <c r="D10" s="72" t="s">
        <v>3</v>
      </c>
      <c r="E10" s="73" t="s">
        <v>4</v>
      </c>
      <c r="F10" s="72" t="s">
        <v>5</v>
      </c>
      <c r="G10" s="72" t="s">
        <v>6</v>
      </c>
      <c r="H10" s="72" t="s">
        <v>7</v>
      </c>
      <c r="I10" s="72" t="s">
        <v>8</v>
      </c>
      <c r="J10" s="72" t="s">
        <v>9</v>
      </c>
      <c r="K10" s="72" t="s">
        <v>10</v>
      </c>
      <c r="L10" s="72" t="s">
        <v>11</v>
      </c>
      <c r="M10" s="72" t="s">
        <v>12</v>
      </c>
      <c r="N10" s="72" t="s">
        <v>13</v>
      </c>
      <c r="O10" s="74" t="s">
        <v>14</v>
      </c>
      <c r="R10" s="122"/>
      <c r="S10" s="122"/>
      <c r="T10" s="122"/>
    </row>
    <row r="11" spans="1:20" ht="24.95" customHeight="1" thickBot="1" x14ac:dyDescent="0.35">
      <c r="A11" s="45"/>
      <c r="B11" s="118" t="s">
        <v>20</v>
      </c>
      <c r="C11" s="68">
        <v>9800</v>
      </c>
      <c r="D11" s="61">
        <v>9800</v>
      </c>
      <c r="E11" s="61">
        <v>9800</v>
      </c>
      <c r="F11" s="61">
        <v>9800</v>
      </c>
      <c r="G11" s="61">
        <v>9800</v>
      </c>
      <c r="H11" s="61">
        <v>9800</v>
      </c>
      <c r="I11" s="61">
        <v>9800</v>
      </c>
      <c r="J11" s="61">
        <v>9800</v>
      </c>
      <c r="K11" s="61">
        <v>9800</v>
      </c>
      <c r="L11" s="61">
        <v>9800</v>
      </c>
      <c r="M11" s="61">
        <v>9800</v>
      </c>
      <c r="N11" s="61">
        <v>9800</v>
      </c>
      <c r="O11" s="79">
        <f t="shared" ref="O11:O18" si="1">SUM(C11:N11)</f>
        <v>117600</v>
      </c>
      <c r="R11" s="122"/>
      <c r="S11" s="122"/>
      <c r="T11" s="122"/>
    </row>
    <row r="12" spans="1:20" ht="24.95" customHeight="1" thickBot="1" x14ac:dyDescent="0.35">
      <c r="A12" s="45"/>
      <c r="B12" s="118" t="s">
        <v>21</v>
      </c>
      <c r="C12" s="68"/>
      <c r="D12" s="61">
        <v>400</v>
      </c>
      <c r="E12" s="61">
        <v>400</v>
      </c>
      <c r="F12" s="61">
        <v>100</v>
      </c>
      <c r="G12" s="61">
        <v>100</v>
      </c>
      <c r="H12" s="61">
        <v>100</v>
      </c>
      <c r="I12" s="61">
        <v>100</v>
      </c>
      <c r="J12" s="61">
        <v>100</v>
      </c>
      <c r="K12" s="61">
        <v>100</v>
      </c>
      <c r="L12" s="61">
        <v>100</v>
      </c>
      <c r="M12" s="61">
        <v>400</v>
      </c>
      <c r="N12" s="61">
        <v>400</v>
      </c>
      <c r="O12" s="79">
        <f t="shared" si="1"/>
        <v>2300</v>
      </c>
      <c r="R12" s="122"/>
      <c r="S12" s="122"/>
      <c r="T12" s="122"/>
    </row>
    <row r="13" spans="1:20" ht="24.95" customHeight="1" thickBot="1" x14ac:dyDescent="0.35">
      <c r="A13" s="45"/>
      <c r="B13" s="118" t="s">
        <v>22</v>
      </c>
      <c r="C13" s="68">
        <v>300</v>
      </c>
      <c r="D13" s="61">
        <v>300</v>
      </c>
      <c r="E13" s="61">
        <v>300</v>
      </c>
      <c r="F13" s="61">
        <v>300</v>
      </c>
      <c r="G13" s="61">
        <v>300</v>
      </c>
      <c r="H13" s="61">
        <v>300</v>
      </c>
      <c r="I13" s="61">
        <v>300</v>
      </c>
      <c r="J13" s="61">
        <v>300</v>
      </c>
      <c r="K13" s="61">
        <v>300</v>
      </c>
      <c r="L13" s="61">
        <v>300</v>
      </c>
      <c r="M13" s="61">
        <v>300</v>
      </c>
      <c r="N13" s="61">
        <v>300</v>
      </c>
      <c r="O13" s="79">
        <f t="shared" si="1"/>
        <v>3600</v>
      </c>
      <c r="R13" s="122"/>
      <c r="S13" s="122"/>
      <c r="T13" s="122"/>
    </row>
    <row r="14" spans="1:20" ht="24.95" customHeight="1" thickBot="1" x14ac:dyDescent="0.35">
      <c r="A14" s="45"/>
      <c r="B14" s="118" t="s">
        <v>23</v>
      </c>
      <c r="C14" s="68">
        <v>40</v>
      </c>
      <c r="D14" s="61">
        <v>40</v>
      </c>
      <c r="E14" s="61">
        <v>40</v>
      </c>
      <c r="F14" s="61">
        <v>40</v>
      </c>
      <c r="G14" s="61">
        <v>40</v>
      </c>
      <c r="H14" s="61">
        <v>40</v>
      </c>
      <c r="I14" s="61">
        <v>40</v>
      </c>
      <c r="J14" s="61">
        <v>40</v>
      </c>
      <c r="K14" s="61">
        <v>40</v>
      </c>
      <c r="L14" s="61">
        <v>40</v>
      </c>
      <c r="M14" s="61">
        <v>40</v>
      </c>
      <c r="N14" s="61">
        <v>40</v>
      </c>
      <c r="O14" s="79">
        <f t="shared" si="1"/>
        <v>480</v>
      </c>
    </row>
    <row r="15" spans="1:20" ht="24.95" customHeight="1" thickBot="1" x14ac:dyDescent="0.35">
      <c r="A15" s="45"/>
      <c r="B15" s="118" t="s">
        <v>24</v>
      </c>
      <c r="C15" s="68">
        <v>250</v>
      </c>
      <c r="D15" s="61">
        <v>250</v>
      </c>
      <c r="E15" s="61">
        <v>250</v>
      </c>
      <c r="F15" s="61">
        <v>250</v>
      </c>
      <c r="G15" s="61">
        <v>250</v>
      </c>
      <c r="H15" s="61">
        <v>250</v>
      </c>
      <c r="I15" s="61">
        <v>250</v>
      </c>
      <c r="J15" s="61">
        <v>250</v>
      </c>
      <c r="K15" s="61">
        <v>250</v>
      </c>
      <c r="L15" s="61">
        <v>250</v>
      </c>
      <c r="M15" s="61">
        <v>250</v>
      </c>
      <c r="N15" s="61">
        <v>250</v>
      </c>
      <c r="O15" s="79">
        <f t="shared" si="1"/>
        <v>3000</v>
      </c>
    </row>
    <row r="16" spans="1:20" ht="24.95" customHeight="1" thickBot="1" x14ac:dyDescent="0.35">
      <c r="A16" s="45"/>
      <c r="B16" s="118" t="s">
        <v>25</v>
      </c>
      <c r="C16" s="68">
        <v>180</v>
      </c>
      <c r="D16" s="61">
        <v>180</v>
      </c>
      <c r="E16" s="61">
        <v>180</v>
      </c>
      <c r="F16" s="61">
        <v>180</v>
      </c>
      <c r="G16" s="61">
        <v>180</v>
      </c>
      <c r="H16" s="61">
        <v>180</v>
      </c>
      <c r="I16" s="61">
        <v>180</v>
      </c>
      <c r="J16" s="61">
        <v>180</v>
      </c>
      <c r="K16" s="61">
        <v>180</v>
      </c>
      <c r="L16" s="61">
        <v>180</v>
      </c>
      <c r="M16" s="61">
        <v>180</v>
      </c>
      <c r="N16" s="61">
        <v>180</v>
      </c>
      <c r="O16" s="79">
        <f t="shared" si="1"/>
        <v>2160</v>
      </c>
    </row>
    <row r="17" spans="1:15" ht="24.95" customHeight="1" thickBot="1" x14ac:dyDescent="0.35">
      <c r="A17" s="45"/>
      <c r="B17" s="118" t="s">
        <v>26</v>
      </c>
      <c r="C17" s="68">
        <v>200</v>
      </c>
      <c r="D17" s="61">
        <v>200</v>
      </c>
      <c r="E17" s="61">
        <v>200</v>
      </c>
      <c r="F17" s="61">
        <v>200</v>
      </c>
      <c r="G17" s="61">
        <v>200</v>
      </c>
      <c r="H17" s="61">
        <v>200</v>
      </c>
      <c r="I17" s="61">
        <v>200</v>
      </c>
      <c r="J17" s="61">
        <v>200</v>
      </c>
      <c r="K17" s="61">
        <v>200</v>
      </c>
      <c r="L17" s="61">
        <v>200</v>
      </c>
      <c r="M17" s="61">
        <v>200</v>
      </c>
      <c r="N17" s="61">
        <v>200</v>
      </c>
      <c r="O17" s="79">
        <f t="shared" si="1"/>
        <v>2400</v>
      </c>
    </row>
    <row r="18" spans="1:15" ht="24.95" customHeight="1" thickBot="1" x14ac:dyDescent="0.35">
      <c r="A18" s="45"/>
      <c r="B18" s="118" t="s">
        <v>27</v>
      </c>
      <c r="C18" s="68">
        <v>600</v>
      </c>
      <c r="D18" s="61">
        <v>600</v>
      </c>
      <c r="E18" s="61">
        <v>600</v>
      </c>
      <c r="F18" s="61">
        <v>600</v>
      </c>
      <c r="G18" s="61">
        <v>600</v>
      </c>
      <c r="H18" s="61">
        <v>600</v>
      </c>
      <c r="I18" s="61">
        <v>600</v>
      </c>
      <c r="J18" s="61">
        <v>600</v>
      </c>
      <c r="K18" s="61">
        <v>600</v>
      </c>
      <c r="L18" s="61">
        <v>600</v>
      </c>
      <c r="M18" s="61">
        <v>600</v>
      </c>
      <c r="N18" s="61">
        <v>600</v>
      </c>
      <c r="O18" s="79">
        <f t="shared" si="1"/>
        <v>7200</v>
      </c>
    </row>
    <row r="19" spans="1:15" ht="24.95" customHeight="1" thickBot="1" x14ac:dyDescent="0.35">
      <c r="A19" s="45"/>
      <c r="B19" s="93" t="s">
        <v>18</v>
      </c>
      <c r="C19" s="76">
        <f>SUBTOTAL(109,OfficePlan[Jan])</f>
        <v>11370</v>
      </c>
      <c r="D19" s="77">
        <f>SUBTOTAL(109,OfficePlan[Feb])</f>
        <v>11770</v>
      </c>
      <c r="E19" s="77">
        <f>SUBTOTAL(109,OfficePlan[Mar])</f>
        <v>11770</v>
      </c>
      <c r="F19" s="77">
        <f>SUBTOTAL(109,OfficePlan[Apr])</f>
        <v>11470</v>
      </c>
      <c r="G19" s="77">
        <f>SUBTOTAL(109,OfficePlan[May])</f>
        <v>11470</v>
      </c>
      <c r="H19" s="77">
        <f>SUBTOTAL(109,OfficePlan[Jun])</f>
        <v>11470</v>
      </c>
      <c r="I19" s="77">
        <f>SUBTOTAL(109,OfficePlan[Jul])</f>
        <v>11470</v>
      </c>
      <c r="J19" s="77">
        <f>SUBTOTAL(109,OfficePlan[Aug])</f>
        <v>11470</v>
      </c>
      <c r="K19" s="77">
        <f>SUBTOTAL(109,OfficePlan[Sep])</f>
        <v>11470</v>
      </c>
      <c r="L19" s="77">
        <f>SUBTOTAL(109,OfficePlan[Oct])</f>
        <v>11470</v>
      </c>
      <c r="M19" s="77">
        <f>SUBTOTAL(109,OfficePlan[Nov])</f>
        <v>11770</v>
      </c>
      <c r="N19" s="77">
        <f>SUBTOTAL(109,OfficePlan[Dec])</f>
        <v>11770</v>
      </c>
      <c r="O19" s="78">
        <f>SUBTOTAL(109,OfficePlan[YEAR])</f>
        <v>138740</v>
      </c>
    </row>
    <row r="20" spans="1:15" ht="21" customHeight="1" x14ac:dyDescent="0.3">
      <c r="A20" s="45"/>
      <c r="B20" s="126"/>
      <c r="C20" s="126"/>
      <c r="D20" s="3"/>
      <c r="E20" s="3"/>
      <c r="F20" s="5"/>
      <c r="G20" s="5"/>
      <c r="H20" s="5"/>
      <c r="I20" s="5"/>
      <c r="J20" s="5"/>
      <c r="K20" s="5"/>
      <c r="L20" s="5"/>
      <c r="M20" s="5"/>
      <c r="N20" s="5"/>
      <c r="O20" s="4"/>
    </row>
    <row r="21" spans="1:15" ht="24.95" customHeight="1" thickBot="1" x14ac:dyDescent="0.35">
      <c r="A21" s="45" t="s">
        <v>87</v>
      </c>
      <c r="B21" s="80" t="s">
        <v>28</v>
      </c>
      <c r="C21" s="64" t="s">
        <v>2</v>
      </c>
      <c r="D21" s="64" t="s">
        <v>3</v>
      </c>
      <c r="E21" s="65" t="s">
        <v>4</v>
      </c>
      <c r="F21" s="64" t="s">
        <v>5</v>
      </c>
      <c r="G21" s="64" t="s">
        <v>6</v>
      </c>
      <c r="H21" s="64" t="s">
        <v>7</v>
      </c>
      <c r="I21" s="64" t="s">
        <v>8</v>
      </c>
      <c r="J21" s="64" t="s">
        <v>9</v>
      </c>
      <c r="K21" s="64" t="s">
        <v>10</v>
      </c>
      <c r="L21" s="64" t="s">
        <v>11</v>
      </c>
      <c r="M21" s="64" t="s">
        <v>12</v>
      </c>
      <c r="N21" s="64" t="s">
        <v>13</v>
      </c>
      <c r="O21" s="66" t="s">
        <v>14</v>
      </c>
    </row>
    <row r="22" spans="1:15" ht="24.95" customHeight="1" thickBot="1" x14ac:dyDescent="0.35">
      <c r="A22" s="45"/>
      <c r="B22" s="59" t="s">
        <v>29</v>
      </c>
      <c r="C22" s="82">
        <v>500</v>
      </c>
      <c r="D22" s="81">
        <v>500</v>
      </c>
      <c r="E22" s="81">
        <v>500</v>
      </c>
      <c r="F22" s="81">
        <v>500</v>
      </c>
      <c r="G22" s="81">
        <v>500</v>
      </c>
      <c r="H22" s="81">
        <v>500</v>
      </c>
      <c r="I22" s="81">
        <v>500</v>
      </c>
      <c r="J22" s="81">
        <v>500</v>
      </c>
      <c r="K22" s="81">
        <v>500</v>
      </c>
      <c r="L22" s="81">
        <v>500</v>
      </c>
      <c r="M22" s="81">
        <v>500</v>
      </c>
      <c r="N22" s="81">
        <v>500</v>
      </c>
      <c r="O22" s="79">
        <f t="shared" ref="O22:O27" si="2">SUM(C22:N22)</f>
        <v>6000</v>
      </c>
    </row>
    <row r="23" spans="1:15" ht="24.95" customHeight="1" thickBot="1" x14ac:dyDescent="0.35">
      <c r="A23" s="45"/>
      <c r="B23" s="59" t="s">
        <v>30</v>
      </c>
      <c r="C23" s="82">
        <v>200</v>
      </c>
      <c r="D23" s="81">
        <v>200</v>
      </c>
      <c r="E23" s="81">
        <v>200</v>
      </c>
      <c r="F23" s="81">
        <v>200</v>
      </c>
      <c r="G23" s="81">
        <v>200</v>
      </c>
      <c r="H23" s="81">
        <v>1000</v>
      </c>
      <c r="I23" s="81">
        <v>200</v>
      </c>
      <c r="J23" s="81">
        <v>200</v>
      </c>
      <c r="K23" s="81">
        <v>200</v>
      </c>
      <c r="L23" s="81">
        <v>200</v>
      </c>
      <c r="M23" s="81">
        <v>200</v>
      </c>
      <c r="N23" s="81">
        <v>1000</v>
      </c>
      <c r="O23" s="79">
        <f t="shared" si="2"/>
        <v>4000</v>
      </c>
    </row>
    <row r="24" spans="1:15" ht="24.95" customHeight="1" thickBot="1" x14ac:dyDescent="0.35">
      <c r="A24" s="45"/>
      <c r="B24" s="59" t="s">
        <v>31</v>
      </c>
      <c r="C24" s="82">
        <v>5000</v>
      </c>
      <c r="D24" s="81">
        <v>0</v>
      </c>
      <c r="E24" s="81">
        <v>0</v>
      </c>
      <c r="F24" s="81">
        <v>5000</v>
      </c>
      <c r="G24" s="81">
        <v>0</v>
      </c>
      <c r="H24" s="81">
        <v>0</v>
      </c>
      <c r="I24" s="81">
        <v>5000</v>
      </c>
      <c r="J24" s="81">
        <v>0</v>
      </c>
      <c r="K24" s="81">
        <v>0</v>
      </c>
      <c r="L24" s="81">
        <v>5000</v>
      </c>
      <c r="M24" s="81">
        <v>0</v>
      </c>
      <c r="N24" s="81">
        <v>0</v>
      </c>
      <c r="O24" s="79">
        <f t="shared" si="2"/>
        <v>20000</v>
      </c>
    </row>
    <row r="25" spans="1:15" ht="24.95" customHeight="1" thickBot="1" x14ac:dyDescent="0.35">
      <c r="A25" s="45"/>
      <c r="B25" s="59" t="s">
        <v>32</v>
      </c>
      <c r="C25" s="82">
        <v>200</v>
      </c>
      <c r="D25" s="81">
        <v>200</v>
      </c>
      <c r="E25" s="81">
        <v>200</v>
      </c>
      <c r="F25" s="81">
        <v>200</v>
      </c>
      <c r="G25" s="81">
        <v>200</v>
      </c>
      <c r="H25" s="81">
        <v>200</v>
      </c>
      <c r="I25" s="81">
        <v>200</v>
      </c>
      <c r="J25" s="81">
        <v>200</v>
      </c>
      <c r="K25" s="81">
        <v>200</v>
      </c>
      <c r="L25" s="81">
        <v>200</v>
      </c>
      <c r="M25" s="81">
        <v>200</v>
      </c>
      <c r="N25" s="81">
        <v>200</v>
      </c>
      <c r="O25" s="79">
        <f t="shared" si="2"/>
        <v>2400</v>
      </c>
    </row>
    <row r="26" spans="1:15" ht="24.95" customHeight="1" thickBot="1" x14ac:dyDescent="0.35">
      <c r="A26" s="45"/>
      <c r="B26" s="59" t="s">
        <v>33</v>
      </c>
      <c r="C26" s="82">
        <v>2000</v>
      </c>
      <c r="D26" s="81">
        <v>2000</v>
      </c>
      <c r="E26" s="81">
        <v>2000</v>
      </c>
      <c r="F26" s="81">
        <v>5000</v>
      </c>
      <c r="G26" s="81">
        <v>2000</v>
      </c>
      <c r="H26" s="81">
        <v>2000</v>
      </c>
      <c r="I26" s="81">
        <v>2000</v>
      </c>
      <c r="J26" s="81">
        <v>5000</v>
      </c>
      <c r="K26" s="81">
        <v>2000</v>
      </c>
      <c r="L26" s="81">
        <v>2000</v>
      </c>
      <c r="M26" s="81">
        <v>2000</v>
      </c>
      <c r="N26" s="81">
        <v>5000</v>
      </c>
      <c r="O26" s="79">
        <f t="shared" si="2"/>
        <v>33000</v>
      </c>
    </row>
    <row r="27" spans="1:15" ht="24.95" customHeight="1" thickBot="1" x14ac:dyDescent="0.35">
      <c r="A27" s="45"/>
      <c r="B27" s="59" t="s">
        <v>34</v>
      </c>
      <c r="C27" s="82">
        <v>200</v>
      </c>
      <c r="D27" s="81">
        <v>200</v>
      </c>
      <c r="E27" s="81">
        <v>200</v>
      </c>
      <c r="F27" s="81">
        <v>200</v>
      </c>
      <c r="G27" s="81">
        <v>200</v>
      </c>
      <c r="H27" s="81">
        <v>200</v>
      </c>
      <c r="I27" s="81">
        <v>200</v>
      </c>
      <c r="J27" s="81">
        <v>200</v>
      </c>
      <c r="K27" s="81">
        <v>200</v>
      </c>
      <c r="L27" s="81">
        <v>200</v>
      </c>
      <c r="M27" s="81">
        <v>200</v>
      </c>
      <c r="N27" s="81">
        <v>200</v>
      </c>
      <c r="O27" s="79">
        <f t="shared" si="2"/>
        <v>2400</v>
      </c>
    </row>
    <row r="28" spans="1:15" ht="24.95" customHeight="1" x14ac:dyDescent="0.3">
      <c r="A28" s="45"/>
      <c r="B28" s="62" t="s">
        <v>18</v>
      </c>
      <c r="C28" s="69">
        <f>SUBTOTAL(109,MarketingPlan[Jan])</f>
        <v>8100</v>
      </c>
      <c r="D28" s="67">
        <f>SUBTOTAL(109,MarketingPlan[Feb])</f>
        <v>3100</v>
      </c>
      <c r="E28" s="67">
        <f>SUBTOTAL(109,MarketingPlan[Mar])</f>
        <v>3100</v>
      </c>
      <c r="F28" s="67">
        <f>SUBTOTAL(109,MarketingPlan[Apr])</f>
        <v>11100</v>
      </c>
      <c r="G28" s="67">
        <f>SUBTOTAL(109,MarketingPlan[May])</f>
        <v>3100</v>
      </c>
      <c r="H28" s="67">
        <f>SUBTOTAL(109,MarketingPlan[Jun])</f>
        <v>3900</v>
      </c>
      <c r="I28" s="67">
        <f>SUBTOTAL(109,MarketingPlan[Jul])</f>
        <v>8100</v>
      </c>
      <c r="J28" s="67">
        <f>SUBTOTAL(109,MarketingPlan[Aug])</f>
        <v>6100</v>
      </c>
      <c r="K28" s="67">
        <f>SUBTOTAL(109,MarketingPlan[Sep])</f>
        <v>3100</v>
      </c>
      <c r="L28" s="67">
        <f>SUBTOTAL(109,MarketingPlan[Oct])</f>
        <v>8100</v>
      </c>
      <c r="M28" s="67">
        <f>SUBTOTAL(109,MarketingPlan[Nov])</f>
        <v>3100</v>
      </c>
      <c r="N28" s="67">
        <f>SUBTOTAL(109,MarketingPlan[Dec])</f>
        <v>6900</v>
      </c>
      <c r="O28" s="83">
        <f>SUBTOTAL(109,MarketingPlan[YEAR])</f>
        <v>67800</v>
      </c>
    </row>
    <row r="29" spans="1:15" ht="21" customHeight="1" x14ac:dyDescent="0.3">
      <c r="A29" s="45"/>
      <c r="B29" s="125"/>
      <c r="C29" s="125"/>
      <c r="D29" s="5"/>
      <c r="E29" s="5"/>
      <c r="F29" s="5"/>
      <c r="G29" s="5"/>
      <c r="H29" s="5"/>
      <c r="I29" s="5"/>
      <c r="J29" s="5"/>
      <c r="K29" s="5"/>
      <c r="L29" s="5"/>
      <c r="M29" s="5"/>
      <c r="N29" s="5"/>
      <c r="O29" s="4"/>
    </row>
    <row r="30" spans="1:15" ht="21" customHeight="1" thickBot="1" x14ac:dyDescent="0.35">
      <c r="A30" s="45" t="s">
        <v>89</v>
      </c>
      <c r="B30" s="84" t="s">
        <v>35</v>
      </c>
      <c r="C30" s="64" t="s">
        <v>2</v>
      </c>
      <c r="D30" s="64" t="s">
        <v>3</v>
      </c>
      <c r="E30" s="65" t="s">
        <v>4</v>
      </c>
      <c r="F30" s="64" t="s">
        <v>5</v>
      </c>
      <c r="G30" s="64" t="s">
        <v>6</v>
      </c>
      <c r="H30" s="64" t="s">
        <v>7</v>
      </c>
      <c r="I30" s="64" t="s">
        <v>8</v>
      </c>
      <c r="J30" s="64" t="s">
        <v>9</v>
      </c>
      <c r="K30" s="64" t="s">
        <v>10</v>
      </c>
      <c r="L30" s="64" t="s">
        <v>11</v>
      </c>
      <c r="M30" s="64" t="s">
        <v>12</v>
      </c>
      <c r="N30" s="64" t="s">
        <v>13</v>
      </c>
      <c r="O30" s="66" t="s">
        <v>14</v>
      </c>
    </row>
    <row r="31" spans="1:15" ht="21" customHeight="1" thickBot="1" x14ac:dyDescent="0.35">
      <c r="A31" s="45"/>
      <c r="B31" s="59" t="s">
        <v>36</v>
      </c>
      <c r="C31" s="82">
        <v>2000</v>
      </c>
      <c r="D31" s="81">
        <v>2000</v>
      </c>
      <c r="E31" s="81">
        <v>2000</v>
      </c>
      <c r="F31" s="81">
        <v>2000</v>
      </c>
      <c r="G31" s="81">
        <v>2000</v>
      </c>
      <c r="H31" s="81">
        <v>2000</v>
      </c>
      <c r="I31" s="81">
        <v>2000</v>
      </c>
      <c r="J31" s="81">
        <v>2000</v>
      </c>
      <c r="K31" s="81">
        <v>2000</v>
      </c>
      <c r="L31" s="81">
        <v>2000</v>
      </c>
      <c r="M31" s="81">
        <v>2000</v>
      </c>
      <c r="N31" s="81">
        <v>2000</v>
      </c>
      <c r="O31" s="87">
        <f>SUM(C31:N31)</f>
        <v>24000</v>
      </c>
    </row>
    <row r="32" spans="1:15" ht="21" customHeight="1" thickBot="1" x14ac:dyDescent="0.35">
      <c r="A32" s="45"/>
      <c r="B32" s="59" t="s">
        <v>37</v>
      </c>
      <c r="C32" s="82">
        <v>2000</v>
      </c>
      <c r="D32" s="81">
        <v>2000</v>
      </c>
      <c r="E32" s="81">
        <v>2000</v>
      </c>
      <c r="F32" s="81">
        <v>2000</v>
      </c>
      <c r="G32" s="81">
        <v>2000</v>
      </c>
      <c r="H32" s="81">
        <v>2000</v>
      </c>
      <c r="I32" s="81">
        <v>2000</v>
      </c>
      <c r="J32" s="81">
        <v>2000</v>
      </c>
      <c r="K32" s="81">
        <v>2000</v>
      </c>
      <c r="L32" s="81">
        <v>2000</v>
      </c>
      <c r="M32" s="81">
        <v>2000</v>
      </c>
      <c r="N32" s="81">
        <v>2000</v>
      </c>
      <c r="O32" s="87">
        <f>SUM(C32:N32)</f>
        <v>24000</v>
      </c>
    </row>
    <row r="33" spans="1:15" ht="21" customHeight="1" x14ac:dyDescent="0.3">
      <c r="A33" s="45"/>
      <c r="B33" s="62" t="s">
        <v>18</v>
      </c>
      <c r="C33" s="88">
        <f>SUBTOTAL(109,TrainingAndTravelPlan[Jan])</f>
        <v>4000</v>
      </c>
      <c r="D33" s="85">
        <f>SUBTOTAL(109,TrainingAndTravelPlan[Feb])</f>
        <v>4000</v>
      </c>
      <c r="E33" s="85">
        <f>SUBTOTAL(109,TrainingAndTravelPlan[Mar])</f>
        <v>4000</v>
      </c>
      <c r="F33" s="85">
        <f>SUBTOTAL(109,TrainingAndTravelPlan[Apr])</f>
        <v>4000</v>
      </c>
      <c r="G33" s="85">
        <f>SUBTOTAL(109,TrainingAndTravelPlan[May])</f>
        <v>4000</v>
      </c>
      <c r="H33" s="85">
        <f>SUBTOTAL(109,TrainingAndTravelPlan[Jun])</f>
        <v>4000</v>
      </c>
      <c r="I33" s="85">
        <f>SUBTOTAL(109,TrainingAndTravelPlan[Jul])</f>
        <v>4000</v>
      </c>
      <c r="J33" s="85">
        <f>SUBTOTAL(109,TrainingAndTravelPlan[Aug])</f>
        <v>4000</v>
      </c>
      <c r="K33" s="85">
        <f>SUBTOTAL(109,TrainingAndTravelPlan[Sep])</f>
        <v>4000</v>
      </c>
      <c r="L33" s="85">
        <f>SUBTOTAL(109,TrainingAndTravelPlan[Oct])</f>
        <v>4000</v>
      </c>
      <c r="M33" s="85">
        <f>SUBTOTAL(109,TrainingAndTravelPlan[Nov])</f>
        <v>4000</v>
      </c>
      <c r="N33" s="85">
        <f>SUBTOTAL(109,TrainingAndTravelPlan[Dec])</f>
        <v>4000</v>
      </c>
      <c r="O33" s="86">
        <f>SUBTOTAL(109,TrainingAndTravelPlan[YEAR])</f>
        <v>48000</v>
      </c>
    </row>
    <row r="34" spans="1:15" ht="21" customHeight="1" x14ac:dyDescent="0.3">
      <c r="A34" s="45"/>
      <c r="B34" s="125"/>
      <c r="C34" s="125"/>
      <c r="D34" s="4"/>
      <c r="E34" s="4"/>
      <c r="F34" s="4"/>
      <c r="G34" s="4"/>
      <c r="H34" s="4"/>
      <c r="I34" s="4"/>
      <c r="J34" s="4"/>
      <c r="K34" s="4"/>
      <c r="L34" s="4"/>
      <c r="M34" s="4"/>
      <c r="N34" s="4"/>
      <c r="O34" s="4"/>
    </row>
    <row r="35" spans="1:15" ht="24.95" customHeight="1" thickBot="1" x14ac:dyDescent="0.35">
      <c r="A35" s="45" t="s">
        <v>88</v>
      </c>
      <c r="B35" s="33" t="s">
        <v>38</v>
      </c>
      <c r="C35" s="35" t="s">
        <v>2</v>
      </c>
      <c r="D35" s="35" t="s">
        <v>3</v>
      </c>
      <c r="E35" s="35" t="s">
        <v>4</v>
      </c>
      <c r="F35" s="35" t="s">
        <v>5</v>
      </c>
      <c r="G35" s="35" t="s">
        <v>6</v>
      </c>
      <c r="H35" s="35" t="s">
        <v>7</v>
      </c>
      <c r="I35" s="35" t="s">
        <v>8</v>
      </c>
      <c r="J35" s="35" t="s">
        <v>9</v>
      </c>
      <c r="K35" s="35" t="s">
        <v>10</v>
      </c>
      <c r="L35" s="35" t="s">
        <v>11</v>
      </c>
      <c r="M35" s="35" t="s">
        <v>12</v>
      </c>
      <c r="N35" s="35" t="s">
        <v>13</v>
      </c>
      <c r="O35" s="35" t="s">
        <v>65</v>
      </c>
    </row>
    <row r="36" spans="1:15" ht="24.95" customHeight="1" thickBot="1" x14ac:dyDescent="0.35">
      <c r="A36" s="45"/>
      <c r="B36" s="34" t="s">
        <v>39</v>
      </c>
      <c r="C36" s="15">
        <f>TrainingAndTravelPlan[[#Totals],[Jan]]+MarketingPlan[[#Totals],[Jan]]+OfficePlan[[#Totals],[Jan]]+EmployeePlan[[#Totals],[Jan]]</f>
        <v>131420</v>
      </c>
      <c r="D36" s="15">
        <f>TrainingAndTravelPlan[[#Totals],[Feb]]+MarketingPlan[[#Totals],[Feb]]+OfficePlan[[#Totals],[Feb]]+EmployeePlan[[#Totals],[Feb]]</f>
        <v>126820</v>
      </c>
      <c r="E36" s="15">
        <f>TrainingAndTravelPlan[[#Totals],[Mar]]+MarketingPlan[[#Totals],[Mar]]+OfficePlan[[#Totals],[Mar]]+EmployeePlan[[#Totals],[Mar]]</f>
        <v>126820</v>
      </c>
      <c r="F36" s="15">
        <f>TrainingAndTravelPlan[[#Totals],[Apr]]+MarketingPlan[[#Totals],[Apr]]+OfficePlan[[#Totals],[Apr]]+EmployeePlan[[#Totals],[Apr]]</f>
        <v>137695</v>
      </c>
      <c r="G36" s="15">
        <f>TrainingAndTravelPlan[[#Totals],[May]]+MarketingPlan[[#Totals],[May]]+OfficePlan[[#Totals],[May]]+EmployeePlan[[#Totals],[May]]</f>
        <v>129695</v>
      </c>
      <c r="H36" s="15">
        <f>TrainingAndTravelPlan[[#Totals],[Jun]]+MarketingPlan[[#Totals],[Jun]]+OfficePlan[[#Totals],[Jun]]+EmployeePlan[[#Totals],[Jun]]</f>
        <v>130495</v>
      </c>
      <c r="I36" s="16">
        <f>TrainingAndTravelPlan[[#Totals],[Jul]]+MarketingPlan[[#Totals],[Jul]]+OfficePlan[[#Totals],[Jul]]+EmployeePlan[[#Totals],[Jul]]</f>
        <v>134695</v>
      </c>
      <c r="J36" s="15">
        <f>TrainingAndTravelPlan[[#Totals],[Aug]]+MarketingPlan[[#Totals],[Aug]]+OfficePlan[[#Totals],[Aug]]+EmployeePlan[[#Totals],[Aug]]</f>
        <v>138918</v>
      </c>
      <c r="K36" s="15">
        <f>TrainingAndTravelPlan[[#Totals],[Sep]]+MarketingPlan[[#Totals],[Sep]]+OfficePlan[[#Totals],[Sep]]+EmployeePlan[[#Totals],[Sep]]</f>
        <v>135918</v>
      </c>
      <c r="L36" s="15">
        <f>TrainingAndTravelPlan[[#Totals],[Oct]]+MarketingPlan[[#Totals],[Oct]]+OfficePlan[[#Totals],[Oct]]+EmployeePlan[[#Totals],[Oct]]</f>
        <v>140918</v>
      </c>
      <c r="M36" s="15">
        <f>TrainingAndTravelPlan[[#Totals],[Nov]]+MarketingPlan[[#Totals],[Nov]]+OfficePlan[[#Totals],[Nov]]+EmployeePlan[[#Totals],[Nov]]</f>
        <v>136218</v>
      </c>
      <c r="N36" s="15">
        <f>TrainingAndTravelPlan[[#Totals],[Dec]]+MarketingPlan[[#Totals],[Dec]]+OfficePlan[[#Totals],[Dec]]+EmployeePlan[[#Totals],[Dec]]</f>
        <v>140018</v>
      </c>
      <c r="O36" s="15">
        <f>TrainingAndTravelPlan[[#Totals],[YEAR]]+MarketingPlan[[#Totals],[YEAR]]+OfficePlan[[#Totals],[YEAR]]+EmployeePlan[[#Totals],[YEAR]]</f>
        <v>1609630</v>
      </c>
    </row>
    <row r="37" spans="1:15" ht="24.95" customHeight="1" x14ac:dyDescent="0.3">
      <c r="A37" s="45"/>
      <c r="B37" s="34" t="s">
        <v>40</v>
      </c>
      <c r="C37" s="15">
        <f>SUM($C$36:C36)</f>
        <v>131420</v>
      </c>
      <c r="D37" s="15">
        <f>SUM($C$36:D36)</f>
        <v>258240</v>
      </c>
      <c r="E37" s="15">
        <f>SUM($C$36:E36)</f>
        <v>385060</v>
      </c>
      <c r="F37" s="15">
        <f>SUM($C$36:F36)</f>
        <v>522755</v>
      </c>
      <c r="G37" s="15">
        <f>SUM($C$36:G36)</f>
        <v>652450</v>
      </c>
      <c r="H37" s="15">
        <f>SUM($C$36:H36)</f>
        <v>782945</v>
      </c>
      <c r="I37" s="15">
        <f>SUM($C$36:I36)</f>
        <v>917640</v>
      </c>
      <c r="J37" s="15">
        <f>SUM($C$36:J36)</f>
        <v>1056558</v>
      </c>
      <c r="K37" s="15">
        <f>SUM($C$36:K36)</f>
        <v>1192476</v>
      </c>
      <c r="L37" s="15">
        <f>SUM($C$36:L36)</f>
        <v>1333394</v>
      </c>
      <c r="M37" s="15">
        <f>SUM($C$36:M36)</f>
        <v>1469612</v>
      </c>
      <c r="N37" s="15">
        <f>SUM($C$36:N36)</f>
        <v>1609630</v>
      </c>
      <c r="O37" s="15"/>
    </row>
    <row r="38" spans="1:15" ht="21" customHeight="1" x14ac:dyDescent="0.3">
      <c r="A38" s="45"/>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scale="68"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33.42578125" style="2" customWidth="1"/>
    <col min="3" max="14" width="14.28515625" style="2" customWidth="1"/>
    <col min="15" max="15" width="16.28515625" style="2" customWidth="1"/>
    <col min="16" max="16" width="4.7109375" style="1" customWidth="1"/>
    <col min="17" max="16384" width="9.140625" style="2"/>
  </cols>
  <sheetData>
    <row r="1" spans="1:16" s="1" customFormat="1" ht="24" customHeight="1" x14ac:dyDescent="0.3">
      <c r="A1" s="46" t="s">
        <v>77</v>
      </c>
      <c r="B1" s="11"/>
      <c r="C1" s="11"/>
      <c r="D1" s="11"/>
      <c r="E1" s="11"/>
      <c r="F1" s="8"/>
      <c r="G1" s="8"/>
      <c r="H1" s="8"/>
      <c r="I1" s="8"/>
      <c r="J1" s="8"/>
      <c r="K1" s="8"/>
      <c r="L1" s="8"/>
      <c r="M1" s="8"/>
      <c r="N1" s="8"/>
      <c r="O1" s="8"/>
      <c r="P1" s="94" t="s">
        <v>47</v>
      </c>
    </row>
    <row r="2" spans="1:16" s="1" customFormat="1" ht="45" customHeight="1" x14ac:dyDescent="0.35">
      <c r="A2" s="44" t="s">
        <v>78</v>
      </c>
      <c r="B2" s="127" t="str">
        <f>'PLANNED EXPENSES'!B2:D3</f>
        <v>Company Name</v>
      </c>
      <c r="C2" s="127"/>
      <c r="D2" s="127"/>
      <c r="E2" s="12"/>
      <c r="F2" s="9"/>
      <c r="G2" s="9"/>
      <c r="H2" s="9"/>
      <c r="I2" s="9"/>
      <c r="J2" s="9"/>
      <c r="K2" s="124" t="str">
        <f>worksheet_title</f>
        <v>Detailed Expense Estimates</v>
      </c>
      <c r="L2" s="124"/>
      <c r="M2" s="124"/>
      <c r="N2" s="123" t="s">
        <v>66</v>
      </c>
      <c r="O2" s="123"/>
      <c r="P2" s="8"/>
    </row>
    <row r="3" spans="1:16" s="1" customFormat="1" ht="30" customHeight="1" x14ac:dyDescent="0.3">
      <c r="A3" s="44" t="s">
        <v>83</v>
      </c>
      <c r="B3" s="127"/>
      <c r="C3" s="127"/>
      <c r="D3" s="127"/>
      <c r="E3" s="13"/>
      <c r="F3" s="10"/>
      <c r="G3" s="10"/>
      <c r="H3" s="10"/>
      <c r="I3" s="10"/>
      <c r="J3" s="10"/>
      <c r="K3" s="129" t="s">
        <v>48</v>
      </c>
      <c r="L3" s="129"/>
      <c r="M3" s="129"/>
      <c r="N3" s="123"/>
      <c r="O3" s="123"/>
      <c r="P3" s="8"/>
    </row>
    <row r="4" spans="1:16" s="14" customFormat="1" ht="49.5" customHeight="1" x14ac:dyDescent="0.3">
      <c r="A4" s="45" t="s">
        <v>90</v>
      </c>
      <c r="B4" s="30" t="s">
        <v>63</v>
      </c>
      <c r="C4" s="31" t="s">
        <v>51</v>
      </c>
      <c r="D4" s="31" t="s">
        <v>52</v>
      </c>
      <c r="E4" s="32" t="s">
        <v>53</v>
      </c>
      <c r="F4" s="31" t="s">
        <v>54</v>
      </c>
      <c r="G4" s="31" t="s">
        <v>55</v>
      </c>
      <c r="H4" s="31" t="s">
        <v>56</v>
      </c>
      <c r="I4" s="32" t="s">
        <v>57</v>
      </c>
      <c r="J4" s="31" t="s">
        <v>58</v>
      </c>
      <c r="K4" s="31" t="s">
        <v>59</v>
      </c>
      <c r="L4" s="31" t="s">
        <v>60</v>
      </c>
      <c r="M4" s="31" t="s">
        <v>61</v>
      </c>
      <c r="N4" s="32" t="s">
        <v>62</v>
      </c>
      <c r="O4" s="31" t="s">
        <v>14</v>
      </c>
    </row>
    <row r="5" spans="1:16" ht="24.95" customHeight="1" thickBot="1" x14ac:dyDescent="0.35">
      <c r="A5" s="45" t="s">
        <v>91</v>
      </c>
      <c r="B5" s="58" t="s">
        <v>15</v>
      </c>
      <c r="C5" s="98" t="s">
        <v>2</v>
      </c>
      <c r="D5" s="64" t="s">
        <v>3</v>
      </c>
      <c r="E5" s="65" t="s">
        <v>4</v>
      </c>
      <c r="F5" s="64" t="s">
        <v>5</v>
      </c>
      <c r="G5" s="64" t="s">
        <v>6</v>
      </c>
      <c r="H5" s="64" t="s">
        <v>7</v>
      </c>
      <c r="I5" s="64" t="s">
        <v>8</v>
      </c>
      <c r="J5" s="64" t="s">
        <v>9</v>
      </c>
      <c r="K5" s="64" t="s">
        <v>10</v>
      </c>
      <c r="L5" s="64" t="s">
        <v>11</v>
      </c>
      <c r="M5" s="64" t="s">
        <v>12</v>
      </c>
      <c r="N5" s="64" t="s">
        <v>13</v>
      </c>
      <c r="O5" s="66" t="s">
        <v>14</v>
      </c>
    </row>
    <row r="6" spans="1:16" ht="24.95" customHeight="1" thickBot="1" x14ac:dyDescent="0.35">
      <c r="A6" s="45"/>
      <c r="B6" s="59" t="s">
        <v>16</v>
      </c>
      <c r="C6" s="82">
        <v>85000</v>
      </c>
      <c r="D6" s="81">
        <v>85000</v>
      </c>
      <c r="E6" s="81">
        <v>85000</v>
      </c>
      <c r="F6" s="81">
        <v>88000</v>
      </c>
      <c r="G6" s="81">
        <v>88000</v>
      </c>
      <c r="H6" s="81">
        <v>88000</v>
      </c>
      <c r="I6" s="81"/>
      <c r="J6" s="81"/>
      <c r="K6" s="81"/>
      <c r="L6" s="81"/>
      <c r="M6" s="81"/>
      <c r="N6" s="81"/>
      <c r="O6" s="87">
        <f>SUM(C6:N6)</f>
        <v>519000</v>
      </c>
    </row>
    <row r="7" spans="1:16" ht="24.95" customHeight="1" thickBot="1" x14ac:dyDescent="0.35">
      <c r="A7" s="45"/>
      <c r="B7" s="59" t="s">
        <v>17</v>
      </c>
      <c r="C7" s="82">
        <f t="shared" ref="C7:N7" si="0">C6*0.27</f>
        <v>22950</v>
      </c>
      <c r="D7" s="81">
        <f t="shared" si="0"/>
        <v>22950</v>
      </c>
      <c r="E7" s="81">
        <f t="shared" si="0"/>
        <v>22950</v>
      </c>
      <c r="F7" s="81">
        <f t="shared" si="0"/>
        <v>23760</v>
      </c>
      <c r="G7" s="81">
        <f t="shared" si="0"/>
        <v>23760</v>
      </c>
      <c r="H7" s="81">
        <f t="shared" si="0"/>
        <v>23760</v>
      </c>
      <c r="I7" s="81">
        <f t="shared" si="0"/>
        <v>0</v>
      </c>
      <c r="J7" s="81">
        <f t="shared" si="0"/>
        <v>0</v>
      </c>
      <c r="K7" s="81">
        <f t="shared" si="0"/>
        <v>0</v>
      </c>
      <c r="L7" s="81">
        <f t="shared" si="0"/>
        <v>0</v>
      </c>
      <c r="M7" s="81">
        <f t="shared" si="0"/>
        <v>0</v>
      </c>
      <c r="N7" s="81">
        <f t="shared" si="0"/>
        <v>0</v>
      </c>
      <c r="O7" s="87">
        <f>SUM(C7:N7)</f>
        <v>140130</v>
      </c>
    </row>
    <row r="8" spans="1:16" ht="24.95" customHeight="1" x14ac:dyDescent="0.3">
      <c r="A8" s="45"/>
      <c r="B8" s="100" t="s">
        <v>18</v>
      </c>
      <c r="C8" s="99">
        <f>SUBTOTAL(109,EmployeeActual[Jan])</f>
        <v>107950</v>
      </c>
      <c r="D8" s="97">
        <f>SUBTOTAL(109,EmployeeActual[Feb])</f>
        <v>107950</v>
      </c>
      <c r="E8" s="97">
        <f>SUBTOTAL(109,EmployeeActual[Mar])</f>
        <v>107950</v>
      </c>
      <c r="F8" s="97">
        <f>SUBTOTAL(109,EmployeeActual[Apr])</f>
        <v>111760</v>
      </c>
      <c r="G8" s="97">
        <f>SUBTOTAL(109,EmployeeActual[May])</f>
        <v>111760</v>
      </c>
      <c r="H8" s="97">
        <f>SUBTOTAL(109,EmployeeActual[Jun])</f>
        <v>111760</v>
      </c>
      <c r="I8" s="97">
        <f>SUBTOTAL(109,EmployeeActual[Jul])</f>
        <v>0</v>
      </c>
      <c r="J8" s="97">
        <f>SUBTOTAL(109,EmployeeActual[Aug])</f>
        <v>0</v>
      </c>
      <c r="K8" s="97">
        <f>SUBTOTAL(109,EmployeeActual[Sep])</f>
        <v>0</v>
      </c>
      <c r="L8" s="97">
        <f>SUBTOTAL(109,EmployeeActual[Oct])</f>
        <v>0</v>
      </c>
      <c r="M8" s="97">
        <f>SUBTOTAL(109,EmployeeActual[Nov])</f>
        <v>0</v>
      </c>
      <c r="N8" s="97">
        <f>SUBTOTAL(109,EmployeeActual[Dec])</f>
        <v>0</v>
      </c>
      <c r="O8" s="101">
        <f>SUBTOTAL(109,EmployeeActual[YEAR])</f>
        <v>659130</v>
      </c>
    </row>
    <row r="9" spans="1:16" s="1" customFormat="1" ht="21" customHeight="1" x14ac:dyDescent="0.3">
      <c r="A9" s="45"/>
      <c r="B9" s="125"/>
      <c r="C9" s="125"/>
      <c r="D9" s="3"/>
      <c r="E9" s="3"/>
      <c r="F9" s="3"/>
      <c r="G9" s="3"/>
      <c r="H9" s="3"/>
      <c r="I9" s="3"/>
      <c r="J9" s="3"/>
      <c r="K9" s="3"/>
      <c r="L9" s="3"/>
      <c r="M9" s="3"/>
      <c r="N9" s="3"/>
      <c r="O9" s="4"/>
    </row>
    <row r="10" spans="1:16" ht="24.95" customHeight="1" thickBot="1" x14ac:dyDescent="0.35">
      <c r="A10" s="45" t="s">
        <v>92</v>
      </c>
      <c r="B10" s="70" t="s">
        <v>19</v>
      </c>
      <c r="C10" s="98" t="s">
        <v>2</v>
      </c>
      <c r="D10" s="64" t="s">
        <v>3</v>
      </c>
      <c r="E10" s="65" t="s">
        <v>4</v>
      </c>
      <c r="F10" s="64" t="s">
        <v>5</v>
      </c>
      <c r="G10" s="64" t="s">
        <v>6</v>
      </c>
      <c r="H10" s="64" t="s">
        <v>7</v>
      </c>
      <c r="I10" s="64" t="s">
        <v>8</v>
      </c>
      <c r="J10" s="64" t="s">
        <v>9</v>
      </c>
      <c r="K10" s="64" t="s">
        <v>10</v>
      </c>
      <c r="L10" s="64" t="s">
        <v>11</v>
      </c>
      <c r="M10" s="64" t="s">
        <v>12</v>
      </c>
      <c r="N10" s="64" t="s">
        <v>13</v>
      </c>
      <c r="O10" s="66" t="s">
        <v>14</v>
      </c>
    </row>
    <row r="11" spans="1:16" ht="24.95" customHeight="1" thickBot="1" x14ac:dyDescent="0.35">
      <c r="A11" s="45"/>
      <c r="B11" s="59" t="s">
        <v>20</v>
      </c>
      <c r="C11" s="82">
        <v>9800</v>
      </c>
      <c r="D11" s="81">
        <v>9800</v>
      </c>
      <c r="E11" s="81">
        <v>9800</v>
      </c>
      <c r="F11" s="81">
        <v>9800</v>
      </c>
      <c r="G11" s="81">
        <v>9800</v>
      </c>
      <c r="H11" s="81">
        <v>9800</v>
      </c>
      <c r="I11" s="81"/>
      <c r="J11" s="81"/>
      <c r="K11" s="81"/>
      <c r="L11" s="81"/>
      <c r="M11" s="81"/>
      <c r="N11" s="81"/>
      <c r="O11" s="87">
        <f t="shared" ref="O11:O18" si="1">SUM(C11:N11)</f>
        <v>58800</v>
      </c>
    </row>
    <row r="12" spans="1:16" ht="24.95" customHeight="1" thickBot="1" x14ac:dyDescent="0.35">
      <c r="A12" s="45"/>
      <c r="B12" s="59" t="s">
        <v>21</v>
      </c>
      <c r="C12" s="82">
        <v>4</v>
      </c>
      <c r="D12" s="81">
        <v>430</v>
      </c>
      <c r="E12" s="81">
        <v>385</v>
      </c>
      <c r="F12" s="81">
        <v>230</v>
      </c>
      <c r="G12" s="81">
        <v>87</v>
      </c>
      <c r="H12" s="81">
        <v>88</v>
      </c>
      <c r="I12" s="81"/>
      <c r="J12" s="81"/>
      <c r="K12" s="81"/>
      <c r="L12" s="81"/>
      <c r="M12" s="81"/>
      <c r="N12" s="81"/>
      <c r="O12" s="87">
        <f t="shared" si="1"/>
        <v>1224</v>
      </c>
    </row>
    <row r="13" spans="1:16" ht="24.95" customHeight="1" thickBot="1" x14ac:dyDescent="0.35">
      <c r="A13" s="45"/>
      <c r="B13" s="59" t="s">
        <v>22</v>
      </c>
      <c r="C13" s="82">
        <v>288</v>
      </c>
      <c r="D13" s="81">
        <v>278</v>
      </c>
      <c r="E13" s="81">
        <v>268</v>
      </c>
      <c r="F13" s="81">
        <v>299</v>
      </c>
      <c r="G13" s="81">
        <v>306</v>
      </c>
      <c r="H13" s="81">
        <v>290</v>
      </c>
      <c r="I13" s="81"/>
      <c r="J13" s="81"/>
      <c r="K13" s="81"/>
      <c r="L13" s="81"/>
      <c r="M13" s="81"/>
      <c r="N13" s="81"/>
      <c r="O13" s="87">
        <f t="shared" si="1"/>
        <v>1729</v>
      </c>
    </row>
    <row r="14" spans="1:16" ht="24.95" customHeight="1" thickBot="1" x14ac:dyDescent="0.35">
      <c r="A14" s="45"/>
      <c r="B14" s="59" t="s">
        <v>23</v>
      </c>
      <c r="C14" s="82">
        <v>35</v>
      </c>
      <c r="D14" s="81">
        <v>33</v>
      </c>
      <c r="E14" s="81">
        <v>34</v>
      </c>
      <c r="F14" s="81">
        <v>36</v>
      </c>
      <c r="G14" s="81">
        <v>34</v>
      </c>
      <c r="H14" s="81">
        <v>36</v>
      </c>
      <c r="I14" s="81"/>
      <c r="J14" s="81"/>
      <c r="K14" s="81"/>
      <c r="L14" s="81"/>
      <c r="M14" s="81"/>
      <c r="N14" s="81"/>
      <c r="O14" s="87">
        <f t="shared" si="1"/>
        <v>208</v>
      </c>
    </row>
    <row r="15" spans="1:16" ht="24.95" customHeight="1" thickBot="1" x14ac:dyDescent="0.35">
      <c r="A15" s="45"/>
      <c r="B15" s="59" t="s">
        <v>24</v>
      </c>
      <c r="C15" s="82">
        <v>224</v>
      </c>
      <c r="D15" s="81">
        <v>235</v>
      </c>
      <c r="E15" s="81">
        <v>265</v>
      </c>
      <c r="F15" s="81">
        <v>245</v>
      </c>
      <c r="G15" s="81">
        <v>245</v>
      </c>
      <c r="H15" s="81">
        <v>220</v>
      </c>
      <c r="I15" s="81"/>
      <c r="J15" s="81"/>
      <c r="K15" s="81"/>
      <c r="L15" s="81"/>
      <c r="M15" s="81"/>
      <c r="N15" s="81"/>
      <c r="O15" s="87">
        <f t="shared" si="1"/>
        <v>1434</v>
      </c>
    </row>
    <row r="16" spans="1:16" ht="24.95" customHeight="1" thickBot="1" x14ac:dyDescent="0.35">
      <c r="A16" s="45"/>
      <c r="B16" s="59" t="s">
        <v>25</v>
      </c>
      <c r="C16" s="82">
        <v>180</v>
      </c>
      <c r="D16" s="81">
        <v>180</v>
      </c>
      <c r="E16" s="81">
        <v>180</v>
      </c>
      <c r="F16" s="81">
        <v>180</v>
      </c>
      <c r="G16" s="81">
        <v>180</v>
      </c>
      <c r="H16" s="81">
        <v>180</v>
      </c>
      <c r="I16" s="81"/>
      <c r="J16" s="81"/>
      <c r="K16" s="81"/>
      <c r="L16" s="81"/>
      <c r="M16" s="81"/>
      <c r="N16" s="81"/>
      <c r="O16" s="87">
        <f t="shared" si="1"/>
        <v>1080</v>
      </c>
    </row>
    <row r="17" spans="1:15" ht="24.95" customHeight="1" thickBot="1" x14ac:dyDescent="0.35">
      <c r="A17" s="45"/>
      <c r="B17" s="59" t="s">
        <v>26</v>
      </c>
      <c r="C17" s="82">
        <v>256</v>
      </c>
      <c r="D17" s="81">
        <v>142</v>
      </c>
      <c r="E17" s="81">
        <v>160</v>
      </c>
      <c r="F17" s="81">
        <v>221</v>
      </c>
      <c r="G17" s="81">
        <v>256</v>
      </c>
      <c r="H17" s="81">
        <v>240</v>
      </c>
      <c r="I17" s="81"/>
      <c r="J17" s="81"/>
      <c r="K17" s="81"/>
      <c r="L17" s="81"/>
      <c r="M17" s="81"/>
      <c r="N17" s="81"/>
      <c r="O17" s="87">
        <f t="shared" si="1"/>
        <v>1275</v>
      </c>
    </row>
    <row r="18" spans="1:15" ht="24.95" customHeight="1" thickBot="1" x14ac:dyDescent="0.35">
      <c r="A18" s="45"/>
      <c r="B18" s="59" t="s">
        <v>27</v>
      </c>
      <c r="C18" s="82">
        <v>600</v>
      </c>
      <c r="D18" s="81">
        <v>600</v>
      </c>
      <c r="E18" s="81">
        <v>600</v>
      </c>
      <c r="F18" s="81">
        <v>600</v>
      </c>
      <c r="G18" s="81">
        <v>600</v>
      </c>
      <c r="H18" s="81">
        <v>600</v>
      </c>
      <c r="I18" s="81"/>
      <c r="J18" s="81"/>
      <c r="K18" s="81"/>
      <c r="L18" s="81"/>
      <c r="M18" s="81"/>
      <c r="N18" s="81"/>
      <c r="O18" s="87">
        <f t="shared" si="1"/>
        <v>3600</v>
      </c>
    </row>
    <row r="19" spans="1:15" ht="24.95" customHeight="1" x14ac:dyDescent="0.3">
      <c r="A19" s="45"/>
      <c r="B19" s="102" t="s">
        <v>18</v>
      </c>
      <c r="C19" s="85">
        <f>SUBTOTAL(109,OfficeActual[Jan])</f>
        <v>11387</v>
      </c>
      <c r="D19" s="85">
        <f>SUBTOTAL(109,OfficeActual[Feb])</f>
        <v>11698</v>
      </c>
      <c r="E19" s="85">
        <f>SUBTOTAL(109,OfficeActual[Mar])</f>
        <v>11692</v>
      </c>
      <c r="F19" s="85">
        <f>SUBTOTAL(109,OfficeActual[Apr])</f>
        <v>11611</v>
      </c>
      <c r="G19" s="85">
        <f>SUBTOTAL(109,OfficeActual[May])</f>
        <v>11508</v>
      </c>
      <c r="H19" s="85">
        <f>SUBTOTAL(109,OfficeActual[Jun])</f>
        <v>11454</v>
      </c>
      <c r="I19" s="85">
        <f>SUBTOTAL(109,OfficeActual[Jul])</f>
        <v>0</v>
      </c>
      <c r="J19" s="85">
        <f>SUBTOTAL(109,OfficeActual[Aug])</f>
        <v>0</v>
      </c>
      <c r="K19" s="85">
        <f>SUBTOTAL(109,OfficeActual[Sep])</f>
        <v>0</v>
      </c>
      <c r="L19" s="85">
        <f>SUBTOTAL(109,OfficeActual[Oct])</f>
        <v>0</v>
      </c>
      <c r="M19" s="85">
        <f>SUBTOTAL(109,OfficeActual[Nov])</f>
        <v>0</v>
      </c>
      <c r="N19" s="85">
        <f>SUBTOTAL(109,OfficeActual[Dec])</f>
        <v>0</v>
      </c>
      <c r="O19" s="86">
        <f>SUBTOTAL(109,OfficeActual[YEAR])</f>
        <v>69350</v>
      </c>
    </row>
    <row r="20" spans="1:15" ht="21" customHeight="1" x14ac:dyDescent="0.3">
      <c r="A20" s="45"/>
      <c r="B20" s="126"/>
      <c r="C20" s="126"/>
      <c r="D20" s="3"/>
      <c r="E20" s="3"/>
      <c r="F20" s="5"/>
      <c r="G20" s="5"/>
      <c r="H20" s="5"/>
      <c r="I20" s="5"/>
      <c r="J20" s="5"/>
      <c r="K20" s="5"/>
      <c r="L20" s="5"/>
      <c r="M20" s="5"/>
      <c r="N20" s="5"/>
      <c r="O20" s="4"/>
    </row>
    <row r="21" spans="1:15" ht="24.95" customHeight="1" thickBot="1" x14ac:dyDescent="0.35">
      <c r="A21" s="45" t="s">
        <v>93</v>
      </c>
      <c r="B21" s="104" t="s">
        <v>28</v>
      </c>
      <c r="C21" s="98" t="s">
        <v>2</v>
      </c>
      <c r="D21" s="64" t="s">
        <v>3</v>
      </c>
      <c r="E21" s="65" t="s">
        <v>4</v>
      </c>
      <c r="F21" s="64" t="s">
        <v>5</v>
      </c>
      <c r="G21" s="64" t="s">
        <v>6</v>
      </c>
      <c r="H21" s="64" t="s">
        <v>7</v>
      </c>
      <c r="I21" s="64" t="s">
        <v>8</v>
      </c>
      <c r="J21" s="64" t="s">
        <v>9</v>
      </c>
      <c r="K21" s="64" t="s">
        <v>10</v>
      </c>
      <c r="L21" s="64" t="s">
        <v>11</v>
      </c>
      <c r="M21" s="64" t="s">
        <v>12</v>
      </c>
      <c r="N21" s="64" t="s">
        <v>13</v>
      </c>
      <c r="O21" s="66" t="s">
        <v>14</v>
      </c>
    </row>
    <row r="22" spans="1:15" ht="24.95" customHeight="1" thickBot="1" x14ac:dyDescent="0.35">
      <c r="A22" s="45"/>
      <c r="B22" s="59" t="s">
        <v>29</v>
      </c>
      <c r="C22" s="82">
        <v>500</v>
      </c>
      <c r="D22" s="81">
        <v>500</v>
      </c>
      <c r="E22" s="81">
        <v>500</v>
      </c>
      <c r="F22" s="81">
        <v>500</v>
      </c>
      <c r="G22" s="81">
        <v>500</v>
      </c>
      <c r="H22" s="81">
        <v>500</v>
      </c>
      <c r="I22" s="81"/>
      <c r="J22" s="81"/>
      <c r="K22" s="81"/>
      <c r="L22" s="81"/>
      <c r="M22" s="81"/>
      <c r="N22" s="81"/>
      <c r="O22" s="87">
        <f t="shared" ref="O22:O27" si="2">SUM(C22:N22)</f>
        <v>3000</v>
      </c>
    </row>
    <row r="23" spans="1:15" ht="24.95" customHeight="1" thickBot="1" x14ac:dyDescent="0.35">
      <c r="A23" s="45"/>
      <c r="B23" s="59" t="s">
        <v>30</v>
      </c>
      <c r="C23" s="82">
        <v>200</v>
      </c>
      <c r="D23" s="81">
        <v>200</v>
      </c>
      <c r="E23" s="81">
        <v>200</v>
      </c>
      <c r="F23" s="81">
        <v>200</v>
      </c>
      <c r="G23" s="81">
        <v>200</v>
      </c>
      <c r="H23" s="81">
        <v>1500</v>
      </c>
      <c r="I23" s="81"/>
      <c r="J23" s="81"/>
      <c r="K23" s="81"/>
      <c r="L23" s="81"/>
      <c r="M23" s="81"/>
      <c r="N23" s="81"/>
      <c r="O23" s="87">
        <f t="shared" si="2"/>
        <v>2500</v>
      </c>
    </row>
    <row r="24" spans="1:15" ht="24.95" customHeight="1" thickBot="1" x14ac:dyDescent="0.35">
      <c r="A24" s="45"/>
      <c r="B24" s="59" t="s">
        <v>31</v>
      </c>
      <c r="C24" s="82">
        <v>4800</v>
      </c>
      <c r="D24" s="81">
        <v>0</v>
      </c>
      <c r="E24" s="81">
        <v>0</v>
      </c>
      <c r="F24" s="81">
        <v>5500</v>
      </c>
      <c r="G24" s="81">
        <v>0</v>
      </c>
      <c r="H24" s="81">
        <v>0</v>
      </c>
      <c r="I24" s="81"/>
      <c r="J24" s="81"/>
      <c r="K24" s="81"/>
      <c r="L24" s="81"/>
      <c r="M24" s="81"/>
      <c r="N24" s="81"/>
      <c r="O24" s="87">
        <f t="shared" si="2"/>
        <v>10300</v>
      </c>
    </row>
    <row r="25" spans="1:15" ht="24.95" customHeight="1" thickBot="1" x14ac:dyDescent="0.35">
      <c r="A25" s="45"/>
      <c r="B25" s="59" t="s">
        <v>32</v>
      </c>
      <c r="C25" s="82">
        <v>100</v>
      </c>
      <c r="D25" s="81">
        <v>500</v>
      </c>
      <c r="E25" s="81">
        <v>100</v>
      </c>
      <c r="F25" s="81">
        <v>100</v>
      </c>
      <c r="G25" s="81">
        <v>600</v>
      </c>
      <c r="H25" s="81">
        <v>180</v>
      </c>
      <c r="I25" s="81"/>
      <c r="J25" s="81"/>
      <c r="K25" s="81"/>
      <c r="L25" s="81"/>
      <c r="M25" s="81"/>
      <c r="N25" s="81"/>
      <c r="O25" s="87">
        <f t="shared" si="2"/>
        <v>1580</v>
      </c>
    </row>
    <row r="26" spans="1:15" ht="24.95" customHeight="1" thickBot="1" x14ac:dyDescent="0.35">
      <c r="A26" s="45"/>
      <c r="B26" s="59" t="s">
        <v>33</v>
      </c>
      <c r="C26" s="82">
        <v>1800</v>
      </c>
      <c r="D26" s="81">
        <v>2200</v>
      </c>
      <c r="E26" s="81">
        <v>2200</v>
      </c>
      <c r="F26" s="81">
        <v>4700</v>
      </c>
      <c r="G26" s="81">
        <v>1500</v>
      </c>
      <c r="H26" s="81">
        <v>2300</v>
      </c>
      <c r="I26" s="81"/>
      <c r="J26" s="81"/>
      <c r="K26" s="81"/>
      <c r="L26" s="81"/>
      <c r="M26" s="81"/>
      <c r="N26" s="81"/>
      <c r="O26" s="87">
        <f t="shared" si="2"/>
        <v>14700</v>
      </c>
    </row>
    <row r="27" spans="1:15" ht="24.95" customHeight="1" thickBot="1" x14ac:dyDescent="0.35">
      <c r="A27" s="45"/>
      <c r="B27" s="59" t="s">
        <v>34</v>
      </c>
      <c r="C27" s="82">
        <v>145</v>
      </c>
      <c r="D27" s="81">
        <v>156</v>
      </c>
      <c r="E27" s="81">
        <v>123</v>
      </c>
      <c r="F27" s="81">
        <v>223</v>
      </c>
      <c r="G27" s="81">
        <v>187</v>
      </c>
      <c r="H27" s="81">
        <v>245</v>
      </c>
      <c r="I27" s="81"/>
      <c r="J27" s="81"/>
      <c r="K27" s="81"/>
      <c r="L27" s="81"/>
      <c r="M27" s="81"/>
      <c r="N27" s="81"/>
      <c r="O27" s="87">
        <f t="shared" si="2"/>
        <v>1079</v>
      </c>
    </row>
    <row r="28" spans="1:15" ht="24.95" customHeight="1" x14ac:dyDescent="0.3">
      <c r="A28" s="45"/>
      <c r="B28" s="96" t="s">
        <v>18</v>
      </c>
      <c r="C28" s="103">
        <f>SUBTOTAL(109,MarketingActual[Jan])</f>
        <v>7545</v>
      </c>
      <c r="D28" s="85">
        <f>SUBTOTAL(109,MarketingActual[Feb])</f>
        <v>3556</v>
      </c>
      <c r="E28" s="85">
        <f>SUBTOTAL(109,MarketingActual[Mar])</f>
        <v>3123</v>
      </c>
      <c r="F28" s="85">
        <f>SUBTOTAL(109,MarketingActual[Apr])</f>
        <v>11223</v>
      </c>
      <c r="G28" s="85">
        <f>SUBTOTAL(109,MarketingActual[May])</f>
        <v>2987</v>
      </c>
      <c r="H28" s="85">
        <f>SUBTOTAL(109,MarketingActual[Jun])</f>
        <v>4725</v>
      </c>
      <c r="I28" s="85">
        <f>SUBTOTAL(109,MarketingActual[Jul])</f>
        <v>0</v>
      </c>
      <c r="J28" s="85">
        <f>SUBTOTAL(109,MarketingActual[Aug])</f>
        <v>0</v>
      </c>
      <c r="K28" s="85">
        <f>SUBTOTAL(109,MarketingActual[Sep])</f>
        <v>0</v>
      </c>
      <c r="L28" s="85">
        <f>SUBTOTAL(109,MarketingActual[Oct])</f>
        <v>0</v>
      </c>
      <c r="M28" s="85">
        <f>SUBTOTAL(109,MarketingActual[Nov])</f>
        <v>0</v>
      </c>
      <c r="N28" s="85">
        <f>SUBTOTAL(109,MarketingActual[Dec])</f>
        <v>0</v>
      </c>
      <c r="O28" s="86">
        <f>SUBTOTAL(109,MarketingActual[YEAR])</f>
        <v>33159</v>
      </c>
    </row>
    <row r="29" spans="1:15" ht="21" customHeight="1" x14ac:dyDescent="0.3">
      <c r="A29" s="45"/>
      <c r="B29" s="125"/>
      <c r="C29" s="125"/>
      <c r="D29" s="5"/>
      <c r="E29" s="5"/>
      <c r="F29" s="5"/>
      <c r="G29" s="5"/>
      <c r="H29" s="5"/>
      <c r="I29" s="5"/>
      <c r="J29" s="5"/>
      <c r="K29" s="5"/>
      <c r="L29" s="5"/>
      <c r="M29" s="5"/>
      <c r="N29" s="5"/>
      <c r="O29" s="4"/>
    </row>
    <row r="30" spans="1:15" ht="24.95" customHeight="1" thickBot="1" x14ac:dyDescent="0.35">
      <c r="A30" s="45" t="s">
        <v>94</v>
      </c>
      <c r="B30" s="84" t="s">
        <v>35</v>
      </c>
      <c r="C30" s="64" t="s">
        <v>2</v>
      </c>
      <c r="D30" s="64" t="s">
        <v>3</v>
      </c>
      <c r="E30" s="65" t="s">
        <v>4</v>
      </c>
      <c r="F30" s="64" t="s">
        <v>5</v>
      </c>
      <c r="G30" s="64" t="s">
        <v>6</v>
      </c>
      <c r="H30" s="64" t="s">
        <v>7</v>
      </c>
      <c r="I30" s="64" t="s">
        <v>8</v>
      </c>
      <c r="J30" s="64" t="s">
        <v>9</v>
      </c>
      <c r="K30" s="64" t="s">
        <v>10</v>
      </c>
      <c r="L30" s="64" t="s">
        <v>11</v>
      </c>
      <c r="M30" s="64" t="s">
        <v>12</v>
      </c>
      <c r="N30" s="64" t="s">
        <v>13</v>
      </c>
      <c r="O30" s="66" t="s">
        <v>14</v>
      </c>
    </row>
    <row r="31" spans="1:15" ht="24.95" customHeight="1" thickBot="1" x14ac:dyDescent="0.35">
      <c r="A31" s="45"/>
      <c r="B31" s="95" t="s">
        <v>36</v>
      </c>
      <c r="C31" s="81">
        <v>1600</v>
      </c>
      <c r="D31" s="81">
        <v>2400</v>
      </c>
      <c r="E31" s="81">
        <v>1400</v>
      </c>
      <c r="F31" s="81">
        <v>1600</v>
      </c>
      <c r="G31" s="81">
        <v>1200</v>
      </c>
      <c r="H31" s="81">
        <v>2800</v>
      </c>
      <c r="I31" s="81"/>
      <c r="J31" s="81"/>
      <c r="K31" s="81"/>
      <c r="L31" s="81"/>
      <c r="M31" s="81"/>
      <c r="N31" s="81"/>
      <c r="O31" s="87">
        <f>SUM(C31:N31)</f>
        <v>11000</v>
      </c>
    </row>
    <row r="32" spans="1:15" ht="24.95" customHeight="1" thickBot="1" x14ac:dyDescent="0.35">
      <c r="A32" s="45"/>
      <c r="B32" s="95" t="s">
        <v>37</v>
      </c>
      <c r="C32" s="81">
        <v>1200</v>
      </c>
      <c r="D32" s="81">
        <v>2200</v>
      </c>
      <c r="E32" s="81">
        <v>1400</v>
      </c>
      <c r="F32" s="81">
        <v>1200</v>
      </c>
      <c r="G32" s="81">
        <v>800</v>
      </c>
      <c r="H32" s="81">
        <v>3500</v>
      </c>
      <c r="I32" s="81"/>
      <c r="J32" s="81"/>
      <c r="K32" s="81"/>
      <c r="L32" s="81"/>
      <c r="M32" s="81"/>
      <c r="N32" s="81"/>
      <c r="O32" s="87">
        <f>SUM(C32:N32)</f>
        <v>10300</v>
      </c>
    </row>
    <row r="33" spans="1:16" ht="24.95" customHeight="1" x14ac:dyDescent="0.3">
      <c r="A33" s="45"/>
      <c r="B33" s="102" t="s">
        <v>18</v>
      </c>
      <c r="C33" s="85">
        <f>SUBTOTAL(109,TrainingAndTravelActual[Jan])</f>
        <v>2800</v>
      </c>
      <c r="D33" s="85">
        <f>SUBTOTAL(109,TrainingAndTravelActual[Feb])</f>
        <v>4600</v>
      </c>
      <c r="E33" s="85">
        <f>SUBTOTAL(109,TrainingAndTravelActual[Mar])</f>
        <v>2800</v>
      </c>
      <c r="F33" s="85">
        <f>SUBTOTAL(109,TrainingAndTravelActual[Apr])</f>
        <v>2800</v>
      </c>
      <c r="G33" s="85">
        <f>SUBTOTAL(109,TrainingAndTravelActual[May])</f>
        <v>2000</v>
      </c>
      <c r="H33" s="85">
        <f>SUBTOTAL(109,TrainingAndTravelActual[Jun])</f>
        <v>6300</v>
      </c>
      <c r="I33" s="85">
        <f>SUBTOTAL(109,TrainingAndTravelActual[Jul])</f>
        <v>0</v>
      </c>
      <c r="J33" s="85">
        <f>SUBTOTAL(109,TrainingAndTravelActual[Aug])</f>
        <v>0</v>
      </c>
      <c r="K33" s="85">
        <f>SUBTOTAL(109,TrainingAndTravelActual[Sep])</f>
        <v>0</v>
      </c>
      <c r="L33" s="85">
        <f>SUBTOTAL(109,TrainingAndTravelActual[Oct])</f>
        <v>0</v>
      </c>
      <c r="M33" s="85">
        <f>SUBTOTAL(109,TrainingAndTravelActual[Nov])</f>
        <v>0</v>
      </c>
      <c r="N33" s="85">
        <f>SUBTOTAL(109,TrainingAndTravelActual[Dec])</f>
        <v>0</v>
      </c>
      <c r="O33" s="86">
        <f>SUBTOTAL(109,TrainingAndTravelActual[YEAR])</f>
        <v>21300</v>
      </c>
    </row>
    <row r="34" spans="1:16" ht="21" customHeight="1" x14ac:dyDescent="0.3">
      <c r="A34" s="45"/>
      <c r="B34" s="125"/>
      <c r="C34" s="125"/>
      <c r="D34" s="4"/>
      <c r="E34" s="4"/>
      <c r="F34" s="4"/>
      <c r="G34" s="4"/>
      <c r="H34" s="4"/>
      <c r="I34" s="4"/>
      <c r="J34" s="4"/>
      <c r="K34" s="4"/>
      <c r="L34" s="4"/>
      <c r="M34" s="4"/>
      <c r="N34" s="4"/>
      <c r="O34" s="4"/>
    </row>
    <row r="35" spans="1:16" ht="24.95" customHeight="1" thickBot="1" x14ac:dyDescent="0.35">
      <c r="A35" s="45" t="s">
        <v>95</v>
      </c>
      <c r="B35" s="37" t="s">
        <v>40</v>
      </c>
      <c r="C35" s="40" t="s">
        <v>2</v>
      </c>
      <c r="D35" s="40" t="s">
        <v>3</v>
      </c>
      <c r="E35" s="40" t="s">
        <v>4</v>
      </c>
      <c r="F35" s="40" t="s">
        <v>5</v>
      </c>
      <c r="G35" s="40" t="s">
        <v>6</v>
      </c>
      <c r="H35" s="40" t="s">
        <v>7</v>
      </c>
      <c r="I35" s="40" t="s">
        <v>8</v>
      </c>
      <c r="J35" s="40" t="s">
        <v>9</v>
      </c>
      <c r="K35" s="40" t="s">
        <v>10</v>
      </c>
      <c r="L35" s="40" t="s">
        <v>11</v>
      </c>
      <c r="M35" s="40" t="s">
        <v>12</v>
      </c>
      <c r="N35" s="40" t="s">
        <v>13</v>
      </c>
      <c r="O35" s="108" t="s">
        <v>65</v>
      </c>
    </row>
    <row r="36" spans="1:16" ht="24.95" customHeight="1" thickBot="1" x14ac:dyDescent="0.35">
      <c r="A36" s="45"/>
      <c r="B36" s="107" t="s">
        <v>42</v>
      </c>
      <c r="C36" s="105">
        <f>TrainingAndTravelActual[[#Totals],[Jan]]+MarketingActual[[#Totals],[Jan]]+OfficeActual[[#Totals],[Jan]]+EmployeeActual[[#Totals],[Jan]]</f>
        <v>129682</v>
      </c>
      <c r="D36" s="20">
        <f>TrainingAndTravelActual[[#Totals],[Feb]]+MarketingActual[[#Totals],[Feb]]+OfficeActual[[#Totals],[Feb]]+EmployeeActual[[#Totals],[Feb]]</f>
        <v>127804</v>
      </c>
      <c r="E36" s="20">
        <f>TrainingAndTravelActual[[#Totals],[Mar]]+MarketingActual[[#Totals],[Mar]]+OfficeActual[[#Totals],[Mar]]+EmployeeActual[[#Totals],[Mar]]</f>
        <v>125565</v>
      </c>
      <c r="F36" s="20">
        <f>TrainingAndTravelActual[[#Totals],[Apr]]+MarketingActual[[#Totals],[Apr]]+OfficeActual[[#Totals],[Apr]]+EmployeeActual[[#Totals],[Apr]]</f>
        <v>137394</v>
      </c>
      <c r="G36" s="20">
        <f>TrainingAndTravelActual[[#Totals],[May]]+MarketingActual[[#Totals],[May]]+OfficeActual[[#Totals],[May]]+EmployeeActual[[#Totals],[May]]</f>
        <v>128255</v>
      </c>
      <c r="H36" s="20">
        <f>TrainingAndTravelActual[[#Totals],[Jun]]+MarketingActual[[#Totals],[Jun]]+OfficeActual[[#Totals],[Jun]]+EmployeeActual[[#Totals],[Jun]]</f>
        <v>134239</v>
      </c>
      <c r="I36" s="20">
        <f>TrainingAndTravelActual[[#Totals],[Jul]]+MarketingActual[[#Totals],[Jul]]+OfficeActual[[#Totals],[Jul]]+EmployeeActual[[#Totals],[Jul]]</f>
        <v>0</v>
      </c>
      <c r="J36" s="20">
        <f>TrainingAndTravelActual[[#Totals],[Aug]]+MarketingActual[[#Totals],[Aug]]+OfficeActual[[#Totals],[Aug]]+EmployeeActual[[#Totals],[Aug]]</f>
        <v>0</v>
      </c>
      <c r="K36" s="20">
        <f>TrainingAndTravelActual[[#Totals],[Sep]]+MarketingActual[[#Totals],[Sep]]+OfficeActual[[#Totals],[Sep]]+EmployeeActual[[#Totals],[Sep]]</f>
        <v>0</v>
      </c>
      <c r="L36" s="20">
        <f>TrainingAndTravelActual[[#Totals],[Oct]]+MarketingActual[[#Totals],[Oct]]+OfficeActual[[#Totals],[Oct]]+EmployeeActual[[#Totals],[Oct]]</f>
        <v>0</v>
      </c>
      <c r="M36" s="20">
        <f>TrainingAndTravelActual[[#Totals],[Nov]]+MarketingActual[[#Totals],[Nov]]+OfficeActual[[#Totals],[Nov]]+EmployeeActual[[#Totals],[Nov]]</f>
        <v>0</v>
      </c>
      <c r="N36" s="20">
        <f>TrainingAndTravelActual[[#Totals],[Dec]]+MarketingActual[[#Totals],[Dec]]+OfficeActual[[#Totals],[Dec]]+EmployeeActual[[#Totals],[Dec]]</f>
        <v>0</v>
      </c>
      <c r="O36" s="20">
        <f>TrainingAndTravelActual[[#Totals],[YEAR]]+MarketingActual[[#Totals],[YEAR]]+OfficeActual[[#Totals],[YEAR]]+EmployeeActual[[#Totals],[YEAR]]</f>
        <v>782939</v>
      </c>
      <c r="P36"/>
    </row>
    <row r="37" spans="1:16" ht="24.95" customHeight="1" thickBot="1" x14ac:dyDescent="0.35">
      <c r="A37" s="45"/>
      <c r="B37" s="107" t="s">
        <v>43</v>
      </c>
      <c r="C37" s="106">
        <f>SUM($C$36:C36)</f>
        <v>129682</v>
      </c>
      <c r="D37" s="38">
        <f>SUM($C$36:D36)</f>
        <v>257486</v>
      </c>
      <c r="E37" s="38">
        <f>SUM($C$36:E36)</f>
        <v>383051</v>
      </c>
      <c r="F37" s="38">
        <f>SUM($C$36:F36)</f>
        <v>520445</v>
      </c>
      <c r="G37" s="38">
        <f>SUM($C$36:G36)</f>
        <v>648700</v>
      </c>
      <c r="H37" s="39">
        <f>SUM($C$36:H36)</f>
        <v>782939</v>
      </c>
      <c r="I37" s="38">
        <f>SUM($C$36:I36)</f>
        <v>782939</v>
      </c>
      <c r="J37" s="38">
        <f>SUM($C$36:J36)</f>
        <v>782939</v>
      </c>
      <c r="K37" s="38">
        <f>SUM($C$36:K36)</f>
        <v>782939</v>
      </c>
      <c r="L37" s="38">
        <f>SUM($C$36:L36)</f>
        <v>782939</v>
      </c>
      <c r="M37" s="39">
        <f>SUM($C$36:M36)</f>
        <v>782939</v>
      </c>
      <c r="N37" s="38">
        <f>SUM($C$36:N36)</f>
        <v>782939</v>
      </c>
      <c r="O37" s="39"/>
      <c r="P37"/>
    </row>
    <row r="38" spans="1:16" ht="21" customHeight="1" x14ac:dyDescent="0.3">
      <c r="L38" s="19"/>
      <c r="M38" s="19"/>
      <c r="N38" s="19"/>
      <c r="O38" s="19"/>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33.42578125" style="2" customWidth="1"/>
    <col min="3" max="14" width="14.28515625" style="2" customWidth="1"/>
    <col min="15" max="15" width="16.28515625" style="2" customWidth="1"/>
    <col min="16" max="16" width="4.7109375" style="1" customWidth="1"/>
    <col min="17" max="16384" width="9.140625" style="2"/>
  </cols>
  <sheetData>
    <row r="1" spans="1:16" s="1" customFormat="1" ht="24" customHeight="1" x14ac:dyDescent="0.3">
      <c r="A1" s="46" t="s">
        <v>96</v>
      </c>
      <c r="B1" s="11"/>
      <c r="C1" s="11"/>
      <c r="D1" s="11"/>
      <c r="E1" s="11"/>
      <c r="F1" s="8"/>
      <c r="G1" s="8"/>
      <c r="H1" s="8"/>
      <c r="I1" s="8"/>
      <c r="J1" s="8"/>
      <c r="K1" s="8"/>
      <c r="L1" s="8"/>
      <c r="M1" s="8"/>
      <c r="N1" s="8"/>
      <c r="O1" s="8"/>
      <c r="P1" s="94" t="s">
        <v>47</v>
      </c>
    </row>
    <row r="2" spans="1:16" s="1" customFormat="1" ht="45" customHeight="1" x14ac:dyDescent="0.35">
      <c r="A2" s="44" t="s">
        <v>78</v>
      </c>
      <c r="B2" s="127" t="str">
        <f>'PLANNED EXPENSES'!B2:D3</f>
        <v>Company Name</v>
      </c>
      <c r="C2" s="127"/>
      <c r="D2" s="127"/>
      <c r="E2" s="12"/>
      <c r="F2" s="9"/>
      <c r="G2" s="9"/>
      <c r="H2" s="9"/>
      <c r="I2" s="9"/>
      <c r="J2" s="9"/>
      <c r="K2" s="124" t="str">
        <f>worksheet_title</f>
        <v>Detailed Expense Estimates</v>
      </c>
      <c r="L2" s="124"/>
      <c r="M2" s="124"/>
      <c r="N2" s="123" t="s">
        <v>66</v>
      </c>
      <c r="O2" s="123"/>
      <c r="P2" s="8"/>
    </row>
    <row r="3" spans="1:16" s="1" customFormat="1" ht="30" customHeight="1" x14ac:dyDescent="0.3">
      <c r="A3" s="44" t="s">
        <v>83</v>
      </c>
      <c r="B3" s="127"/>
      <c r="C3" s="127"/>
      <c r="D3" s="127"/>
      <c r="E3" s="13"/>
      <c r="F3" s="10"/>
      <c r="G3" s="10"/>
      <c r="H3" s="10"/>
      <c r="I3" s="10"/>
      <c r="J3" s="10"/>
      <c r="K3" s="129" t="s">
        <v>48</v>
      </c>
      <c r="L3" s="129"/>
      <c r="M3" s="129"/>
      <c r="N3" s="123"/>
      <c r="O3" s="123"/>
      <c r="P3" s="8"/>
    </row>
    <row r="4" spans="1:16" s="14" customFormat="1" ht="49.5" customHeight="1" x14ac:dyDescent="0.3">
      <c r="A4" s="45" t="s">
        <v>97</v>
      </c>
      <c r="B4" s="30" t="s">
        <v>64</v>
      </c>
      <c r="C4" s="31" t="s">
        <v>51</v>
      </c>
      <c r="D4" s="31" t="s">
        <v>52</v>
      </c>
      <c r="E4" s="32" t="s">
        <v>53</v>
      </c>
      <c r="F4" s="31" t="s">
        <v>54</v>
      </c>
      <c r="G4" s="31" t="s">
        <v>55</v>
      </c>
      <c r="H4" s="31" t="s">
        <v>56</v>
      </c>
      <c r="I4" s="32" t="s">
        <v>57</v>
      </c>
      <c r="J4" s="31" t="s">
        <v>58</v>
      </c>
      <c r="K4" s="31" t="s">
        <v>59</v>
      </c>
      <c r="L4" s="31" t="s">
        <v>60</v>
      </c>
      <c r="M4" s="31" t="s">
        <v>61</v>
      </c>
      <c r="N4" s="32" t="s">
        <v>62</v>
      </c>
      <c r="O4" s="31" t="s">
        <v>14</v>
      </c>
    </row>
    <row r="5" spans="1:16" ht="24.95" customHeight="1" thickBot="1" x14ac:dyDescent="0.35">
      <c r="A5" s="45" t="s">
        <v>98</v>
      </c>
      <c r="B5" s="84" t="s">
        <v>15</v>
      </c>
      <c r="C5" s="109" t="s">
        <v>2</v>
      </c>
      <c r="D5" s="109" t="s">
        <v>3</v>
      </c>
      <c r="E5" s="110" t="s">
        <v>4</v>
      </c>
      <c r="F5" s="109" t="s">
        <v>5</v>
      </c>
      <c r="G5" s="109" t="s">
        <v>6</v>
      </c>
      <c r="H5" s="109" t="s">
        <v>7</v>
      </c>
      <c r="I5" s="109" t="s">
        <v>8</v>
      </c>
      <c r="J5" s="109" t="s">
        <v>9</v>
      </c>
      <c r="K5" s="109" t="s">
        <v>10</v>
      </c>
      <c r="L5" s="109" t="s">
        <v>11</v>
      </c>
      <c r="M5" s="109" t="s">
        <v>12</v>
      </c>
      <c r="N5" s="109" t="s">
        <v>13</v>
      </c>
      <c r="O5" s="111" t="s">
        <v>14</v>
      </c>
    </row>
    <row r="6" spans="1:16" ht="24.95" customHeight="1" thickBot="1" x14ac:dyDescent="0.35">
      <c r="A6" s="45"/>
      <c r="B6" s="59" t="s">
        <v>16</v>
      </c>
      <c r="C6" s="82">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6" s="81">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6" s="81">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6" s="81">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-500</v>
      </c>
      <c r="G6" s="81">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-500</v>
      </c>
      <c r="H6" s="81">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-500</v>
      </c>
      <c r="I6" s="81">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87500</v>
      </c>
      <c r="J6" s="81">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92400</v>
      </c>
      <c r="K6" s="81">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92400</v>
      </c>
      <c r="L6" s="81">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92400</v>
      </c>
      <c r="M6" s="81">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92400</v>
      </c>
      <c r="N6" s="81">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92400</v>
      </c>
      <c r="O6" s="87">
        <f>SUM(EmployeeVariances[[#This Row],[Jan]:[Dec]])</f>
        <v>548000</v>
      </c>
    </row>
    <row r="7" spans="1:16" ht="24.95" customHeight="1" thickBot="1" x14ac:dyDescent="0.35">
      <c r="A7" s="45"/>
      <c r="B7" s="59" t="s">
        <v>17</v>
      </c>
      <c r="C7" s="82">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7" s="81">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7" s="81">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7" s="81">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-135</v>
      </c>
      <c r="G7" s="81">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-135</v>
      </c>
      <c r="H7" s="81">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-135</v>
      </c>
      <c r="I7" s="81">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23625</v>
      </c>
      <c r="J7" s="81">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24948</v>
      </c>
      <c r="K7" s="81">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24948</v>
      </c>
      <c r="L7" s="81">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24948</v>
      </c>
      <c r="M7" s="81">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24948</v>
      </c>
      <c r="N7" s="81">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24948</v>
      </c>
      <c r="O7" s="87">
        <f>SUM(EmployeeVariances[[#This Row],[Jan]:[Dec]])</f>
        <v>147960</v>
      </c>
    </row>
    <row r="8" spans="1:16" ht="24.95" customHeight="1" x14ac:dyDescent="0.3">
      <c r="A8" s="45"/>
      <c r="B8" s="112" t="s">
        <v>18</v>
      </c>
      <c r="C8" s="97">
        <f>SUBTOTAL(109,EmployeeVariances[Jan])</f>
        <v>0</v>
      </c>
      <c r="D8" s="97">
        <f>SUBTOTAL(109,EmployeeVariances[Feb])</f>
        <v>0</v>
      </c>
      <c r="E8" s="97">
        <f>SUBTOTAL(109,EmployeeVariances[Mar])</f>
        <v>0</v>
      </c>
      <c r="F8" s="97">
        <f>SUBTOTAL(109,EmployeeVariances[Apr])</f>
        <v>-635</v>
      </c>
      <c r="G8" s="97">
        <f>SUBTOTAL(109,EmployeeVariances[May])</f>
        <v>-635</v>
      </c>
      <c r="H8" s="97">
        <f>SUBTOTAL(109,EmployeeVariances[Jun])</f>
        <v>-635</v>
      </c>
      <c r="I8" s="97">
        <f>SUBTOTAL(109,EmployeeVariances[Jul])</f>
        <v>111125</v>
      </c>
      <c r="J8" s="97">
        <f>SUBTOTAL(109,EmployeeVariances[Aug])</f>
        <v>117348</v>
      </c>
      <c r="K8" s="97">
        <f>SUBTOTAL(109,EmployeeVariances[Sep])</f>
        <v>117348</v>
      </c>
      <c r="L8" s="97">
        <f>SUBTOTAL(109,EmployeeVariances[Oct])</f>
        <v>117348</v>
      </c>
      <c r="M8" s="97">
        <f>SUBTOTAL(109,EmployeeVariances[Nov])</f>
        <v>117348</v>
      </c>
      <c r="N8" s="97">
        <f>SUBTOTAL(109,EmployeeVariances[Dec])</f>
        <v>117348</v>
      </c>
      <c r="O8" s="101">
        <f>SUBTOTAL(109,EmployeeVariances[YEAR])</f>
        <v>695960</v>
      </c>
    </row>
    <row r="9" spans="1:16" ht="21" customHeight="1" x14ac:dyDescent="0.3">
      <c r="A9" s="45"/>
      <c r="B9" s="125"/>
      <c r="C9" s="125"/>
      <c r="D9" s="3"/>
      <c r="E9" s="3"/>
      <c r="F9" s="3"/>
      <c r="G9" s="3"/>
      <c r="H9" s="3"/>
      <c r="I9" s="3"/>
      <c r="J9" s="3"/>
      <c r="K9" s="3"/>
      <c r="L9" s="3"/>
      <c r="M9" s="3"/>
      <c r="N9" s="3"/>
      <c r="O9" s="4"/>
    </row>
    <row r="10" spans="1:16" ht="24.95" customHeight="1" thickBot="1" x14ac:dyDescent="0.35">
      <c r="A10" s="45" t="s">
        <v>99</v>
      </c>
      <c r="B10" s="63" t="s">
        <v>19</v>
      </c>
      <c r="C10" s="64" t="s">
        <v>2</v>
      </c>
      <c r="D10" s="64" t="s">
        <v>3</v>
      </c>
      <c r="E10" s="65" t="s">
        <v>4</v>
      </c>
      <c r="F10" s="64" t="s">
        <v>5</v>
      </c>
      <c r="G10" s="64" t="s">
        <v>6</v>
      </c>
      <c r="H10" s="64" t="s">
        <v>7</v>
      </c>
      <c r="I10" s="64" t="s">
        <v>8</v>
      </c>
      <c r="J10" s="64" t="s">
        <v>9</v>
      </c>
      <c r="K10" s="64" t="s">
        <v>10</v>
      </c>
      <c r="L10" s="64" t="s">
        <v>11</v>
      </c>
      <c r="M10" s="64" t="s">
        <v>12</v>
      </c>
      <c r="N10" s="64" t="s">
        <v>13</v>
      </c>
      <c r="O10" s="66" t="s">
        <v>14</v>
      </c>
    </row>
    <row r="11" spans="1:16" ht="24.95" customHeight="1" thickBot="1" x14ac:dyDescent="0.35">
      <c r="A11" s="45"/>
      <c r="B11" s="95" t="s">
        <v>20</v>
      </c>
      <c r="C11"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1"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1"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1"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1"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1"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1"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9800</v>
      </c>
      <c r="J11"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9800</v>
      </c>
      <c r="K11"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9800</v>
      </c>
      <c r="L11"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9800</v>
      </c>
      <c r="M11"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9800</v>
      </c>
      <c r="N11"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9800</v>
      </c>
      <c r="O11" s="87">
        <f>SUM(OfficeVariances[[#This Row],[Jan]:[Dec]])</f>
        <v>58800</v>
      </c>
    </row>
    <row r="12" spans="1:16" ht="24.95" customHeight="1" thickBot="1" x14ac:dyDescent="0.35">
      <c r="A12" s="45"/>
      <c r="B12" s="95" t="s">
        <v>21</v>
      </c>
      <c r="C12"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-4</v>
      </c>
      <c r="D12"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-30</v>
      </c>
      <c r="E12"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2"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-130</v>
      </c>
      <c r="G12"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13</v>
      </c>
      <c r="H12"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12</v>
      </c>
      <c r="I12"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100</v>
      </c>
      <c r="J12"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100</v>
      </c>
      <c r="K12"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100</v>
      </c>
      <c r="L12"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100</v>
      </c>
      <c r="M12"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400</v>
      </c>
      <c r="N12"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400</v>
      </c>
      <c r="O12" s="87">
        <f>SUM(OfficeVariances[[#This Row],[Jan]:[Dec]])</f>
        <v>1076</v>
      </c>
    </row>
    <row r="13" spans="1:16" ht="24.95" customHeight="1" thickBot="1" x14ac:dyDescent="0.35">
      <c r="A13" s="45"/>
      <c r="B13" s="95" t="s">
        <v>22</v>
      </c>
      <c r="C13"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12</v>
      </c>
      <c r="D13"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22</v>
      </c>
      <c r="E13"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32</v>
      </c>
      <c r="F13"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v>
      </c>
      <c r="G13"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3"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10</v>
      </c>
      <c r="I13"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300</v>
      </c>
      <c r="J13"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300</v>
      </c>
      <c r="K13"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300</v>
      </c>
      <c r="L13"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300</v>
      </c>
      <c r="M13"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300</v>
      </c>
      <c r="N13"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300</v>
      </c>
      <c r="O13" s="87">
        <f>SUM(OfficeVariances[[#This Row],[Jan]:[Dec]])</f>
        <v>1871</v>
      </c>
    </row>
    <row r="14" spans="1:16" ht="24.95" customHeight="1" thickBot="1" x14ac:dyDescent="0.35">
      <c r="A14" s="45"/>
      <c r="B14" s="95" t="s">
        <v>23</v>
      </c>
      <c r="C14"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v>
      </c>
      <c r="D14"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7</v>
      </c>
      <c r="E14"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6</v>
      </c>
      <c r="F14"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4</v>
      </c>
      <c r="G14"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4"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v>
      </c>
      <c r="I14"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40</v>
      </c>
      <c r="J14"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40</v>
      </c>
      <c r="K14"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40</v>
      </c>
      <c r="L14"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40</v>
      </c>
      <c r="M14"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v>
      </c>
      <c r="N14"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v>
      </c>
      <c r="O14" s="87">
        <f>SUM(OfficeVariances[[#This Row],[Jan]:[Dec]])</f>
        <v>272</v>
      </c>
    </row>
    <row r="15" spans="1:16" ht="24.95" customHeight="1" thickBot="1" x14ac:dyDescent="0.35">
      <c r="A15" s="45"/>
      <c r="B15" s="95" t="s">
        <v>24</v>
      </c>
      <c r="C15"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26</v>
      </c>
      <c r="D15"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15</v>
      </c>
      <c r="E15"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5"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5</v>
      </c>
      <c r="G15"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v>
      </c>
      <c r="H15"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30</v>
      </c>
      <c r="I15"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250</v>
      </c>
      <c r="J15"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250</v>
      </c>
      <c r="K15"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250</v>
      </c>
      <c r="L15"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250</v>
      </c>
      <c r="M15"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250</v>
      </c>
      <c r="N15"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250</v>
      </c>
      <c r="O15" s="87">
        <f>SUM(OfficeVariances[[#This Row],[Jan]:[Dec]])</f>
        <v>1566</v>
      </c>
    </row>
    <row r="16" spans="1:16" ht="24.95" customHeight="1" thickBot="1" x14ac:dyDescent="0.35">
      <c r="A16" s="45"/>
      <c r="B16" s="95" t="s">
        <v>25</v>
      </c>
      <c r="C16"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6"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6"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6"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6"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6"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6"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180</v>
      </c>
      <c r="J16"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180</v>
      </c>
      <c r="K16"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180</v>
      </c>
      <c r="L16"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180</v>
      </c>
      <c r="M16"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180</v>
      </c>
      <c r="N16"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180</v>
      </c>
      <c r="O16" s="87">
        <f>SUM(OfficeVariances[[#This Row],[Jan]:[Dec]])</f>
        <v>1080</v>
      </c>
    </row>
    <row r="17" spans="1:15" ht="24.95" customHeight="1" thickBot="1" x14ac:dyDescent="0.35">
      <c r="A17" s="45"/>
      <c r="B17" s="95" t="s">
        <v>26</v>
      </c>
      <c r="C17"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-56</v>
      </c>
      <c r="D17"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58</v>
      </c>
      <c r="E17"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40</v>
      </c>
      <c r="F17"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-21</v>
      </c>
      <c r="G17"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-56</v>
      </c>
      <c r="H17"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-40</v>
      </c>
      <c r="I17"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200</v>
      </c>
      <c r="J17"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200</v>
      </c>
      <c r="K17"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200</v>
      </c>
      <c r="L17"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200</v>
      </c>
      <c r="M17"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200</v>
      </c>
      <c r="N17"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200</v>
      </c>
      <c r="O17" s="87">
        <f>SUM(OfficeVariances[[#This Row],[Jan]:[Dec]])</f>
        <v>1125</v>
      </c>
    </row>
    <row r="18" spans="1:15" ht="24.95" customHeight="1" thickBot="1" x14ac:dyDescent="0.35">
      <c r="A18" s="45"/>
      <c r="B18" s="95" t="s">
        <v>27</v>
      </c>
      <c r="C18" s="81">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8" s="81">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8" s="81">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8" s="81">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8" s="81">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8" s="81">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8" s="81">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600</v>
      </c>
      <c r="J18" s="81">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600</v>
      </c>
      <c r="K18" s="81">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600</v>
      </c>
      <c r="L18" s="81">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600</v>
      </c>
      <c r="M18" s="81">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600</v>
      </c>
      <c r="N18" s="81">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600</v>
      </c>
      <c r="O18" s="87">
        <f>SUM(OfficeVariances[[#This Row],[Jan]:[Dec]])</f>
        <v>3600</v>
      </c>
    </row>
    <row r="19" spans="1:15" ht="24.95" customHeight="1" x14ac:dyDescent="0.3">
      <c r="A19" s="45"/>
      <c r="B19" s="114" t="s">
        <v>18</v>
      </c>
      <c r="C19" s="115">
        <f>SUBTOTAL(109,OfficeVariances[Jan])</f>
        <v>-17</v>
      </c>
      <c r="D19" s="97">
        <f>SUBTOTAL(109,OfficeVariances[Feb])</f>
        <v>72</v>
      </c>
      <c r="E19" s="97">
        <f>SUBTOTAL(109,OfficeVariances[Mar])</f>
        <v>78</v>
      </c>
      <c r="F19" s="97">
        <f>SUBTOTAL(109,OfficeVariances[Apr])</f>
        <v>-141</v>
      </c>
      <c r="G19" s="97">
        <f>SUBTOTAL(109,OfficeVariances[May])</f>
        <v>-38</v>
      </c>
      <c r="H19" s="97">
        <f>SUBTOTAL(109,OfficeVariances[Jun])</f>
        <v>16</v>
      </c>
      <c r="I19" s="97">
        <f>SUBTOTAL(109,OfficeVariances[Jul])</f>
        <v>11470</v>
      </c>
      <c r="J19" s="97">
        <f>SUBTOTAL(109,OfficeVariances[Aug])</f>
        <v>11470</v>
      </c>
      <c r="K19" s="97">
        <f>SUBTOTAL(109,OfficeVariances[Sep])</f>
        <v>11470</v>
      </c>
      <c r="L19" s="97">
        <f>SUBTOTAL(109,OfficeVariances[Oct])</f>
        <v>11470</v>
      </c>
      <c r="M19" s="97">
        <f>SUBTOTAL(109,OfficeVariances[Nov])</f>
        <v>11770</v>
      </c>
      <c r="N19" s="97">
        <f>SUBTOTAL(109,OfficeVariances[Dec])</f>
        <v>11770</v>
      </c>
      <c r="O19" s="101">
        <f>SUBTOTAL(109,OfficeVariances[YEAR])</f>
        <v>69390</v>
      </c>
    </row>
    <row r="20" spans="1:15" ht="21" customHeight="1" x14ac:dyDescent="0.3">
      <c r="A20" s="45"/>
      <c r="B20" s="126"/>
      <c r="C20" s="126"/>
      <c r="D20" s="3"/>
      <c r="E20" s="3"/>
      <c r="F20" s="5"/>
      <c r="G20" s="5"/>
      <c r="H20" s="5"/>
      <c r="I20" s="5"/>
      <c r="J20" s="5"/>
      <c r="K20" s="5"/>
      <c r="L20" s="5"/>
      <c r="M20" s="5"/>
      <c r="N20" s="5"/>
      <c r="O20" s="4"/>
    </row>
    <row r="21" spans="1:15" ht="24.95" customHeight="1" thickBot="1" x14ac:dyDescent="0.35">
      <c r="A21" s="45" t="s">
        <v>100</v>
      </c>
      <c r="B21" s="80" t="s">
        <v>28</v>
      </c>
      <c r="C21" s="64" t="s">
        <v>2</v>
      </c>
      <c r="D21" s="64" t="s">
        <v>3</v>
      </c>
      <c r="E21" s="65" t="s">
        <v>4</v>
      </c>
      <c r="F21" s="64" t="s">
        <v>5</v>
      </c>
      <c r="G21" s="64" t="s">
        <v>6</v>
      </c>
      <c r="H21" s="64" t="s">
        <v>7</v>
      </c>
      <c r="I21" s="64" t="s">
        <v>8</v>
      </c>
      <c r="J21" s="64" t="s">
        <v>9</v>
      </c>
      <c r="K21" s="64" t="s">
        <v>10</v>
      </c>
      <c r="L21" s="64" t="s">
        <v>11</v>
      </c>
      <c r="M21" s="64" t="s">
        <v>12</v>
      </c>
      <c r="N21" s="64" t="s">
        <v>13</v>
      </c>
      <c r="O21" s="66" t="s">
        <v>14</v>
      </c>
    </row>
    <row r="22" spans="1:15" ht="24.95" customHeight="1" thickBot="1" x14ac:dyDescent="0.35">
      <c r="A22" s="45"/>
      <c r="B22" s="95" t="s">
        <v>29</v>
      </c>
      <c r="C22"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2"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2"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2"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2"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2"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2"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v>
      </c>
      <c r="J22"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v>
      </c>
      <c r="K22"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500</v>
      </c>
      <c r="L22"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v>
      </c>
      <c r="M22"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500</v>
      </c>
      <c r="N22"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v>
      </c>
      <c r="O22" s="87">
        <f>SUM(MarketingVariances[[#This Row],[Jan]:[Dec]])</f>
        <v>3000</v>
      </c>
    </row>
    <row r="23" spans="1:15" ht="24.95" customHeight="1" thickBot="1" x14ac:dyDescent="0.35">
      <c r="A23" s="45"/>
      <c r="B23" s="95" t="s">
        <v>30</v>
      </c>
      <c r="C23"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3"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3"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3"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3"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3"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-500</v>
      </c>
      <c r="I23"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3"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3"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3"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3"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3"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1000</v>
      </c>
      <c r="O23" s="87">
        <f>SUM(MarketingVariances[[#This Row],[Jan]:[Dec]])</f>
        <v>1500</v>
      </c>
    </row>
    <row r="24" spans="1:15" ht="24.95" customHeight="1" thickBot="1" x14ac:dyDescent="0.35">
      <c r="A24" s="45"/>
      <c r="B24" s="95" t="s">
        <v>31</v>
      </c>
      <c r="C24"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4"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4"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4"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-500</v>
      </c>
      <c r="G24"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4"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4"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5000</v>
      </c>
      <c r="J24"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0</v>
      </c>
      <c r="K24"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0</v>
      </c>
      <c r="L24"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5000</v>
      </c>
      <c r="M24"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0</v>
      </c>
      <c r="N24"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0</v>
      </c>
      <c r="O24" s="87">
        <f>SUM(MarketingVariances[[#This Row],[Jan]:[Dec]])</f>
        <v>9700</v>
      </c>
    </row>
    <row r="25" spans="1:15" ht="24.95" customHeight="1" thickBot="1" x14ac:dyDescent="0.35">
      <c r="A25" s="45"/>
      <c r="B25" s="95" t="s">
        <v>32</v>
      </c>
      <c r="C25"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100</v>
      </c>
      <c r="D25"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-300</v>
      </c>
      <c r="E25"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100</v>
      </c>
      <c r="F25"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100</v>
      </c>
      <c r="G25"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-400</v>
      </c>
      <c r="H25"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20</v>
      </c>
      <c r="I25"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5"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5"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5"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5"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5"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5" s="87">
        <f>SUM(MarketingVariances[[#This Row],[Jan]:[Dec]])</f>
        <v>820</v>
      </c>
    </row>
    <row r="26" spans="1:15" ht="24.95" customHeight="1" thickBot="1" x14ac:dyDescent="0.35">
      <c r="A26" s="45"/>
      <c r="B26" s="95" t="s">
        <v>33</v>
      </c>
      <c r="C26"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6"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-200</v>
      </c>
      <c r="E26"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-200</v>
      </c>
      <c r="F26"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300</v>
      </c>
      <c r="G26"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500</v>
      </c>
      <c r="H26"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-300</v>
      </c>
      <c r="I26"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2000</v>
      </c>
      <c r="J26"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5000</v>
      </c>
      <c r="K26"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2000</v>
      </c>
      <c r="L26"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2000</v>
      </c>
      <c r="M26"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2000</v>
      </c>
      <c r="N26"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5000</v>
      </c>
      <c r="O26" s="87">
        <f>SUM(MarketingVariances[[#This Row],[Jan]:[Dec]])</f>
        <v>18300</v>
      </c>
    </row>
    <row r="27" spans="1:15" ht="24.95" customHeight="1" thickBot="1" x14ac:dyDescent="0.35">
      <c r="A27" s="45"/>
      <c r="B27" s="95" t="s">
        <v>34</v>
      </c>
      <c r="C27" s="81">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55</v>
      </c>
      <c r="D27" s="81">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44</v>
      </c>
      <c r="E27" s="81">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77</v>
      </c>
      <c r="F27" s="81">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-23</v>
      </c>
      <c r="G27" s="81">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13</v>
      </c>
      <c r="H27" s="81">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-45</v>
      </c>
      <c r="I27" s="81">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7" s="81">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7" s="81">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7" s="81">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7" s="81">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7" s="81">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7" s="87">
        <f>SUM(MarketingVariances[[#This Row],[Jan]:[Dec]])</f>
        <v>1321</v>
      </c>
    </row>
    <row r="28" spans="1:15" ht="24.95" customHeight="1" x14ac:dyDescent="0.3">
      <c r="A28" s="45"/>
      <c r="B28" s="113" t="s">
        <v>18</v>
      </c>
      <c r="C28" s="97">
        <f>SUBTOTAL(109,MarketingVariances[Jan])</f>
        <v>555</v>
      </c>
      <c r="D28" s="97">
        <f>SUBTOTAL(109,MarketingVariances[Feb])</f>
        <v>-456</v>
      </c>
      <c r="E28" s="97">
        <f>SUBTOTAL(109,MarketingVariances[Mar])</f>
        <v>-23</v>
      </c>
      <c r="F28" s="97">
        <f>SUBTOTAL(109,MarketingVariances[Apr])</f>
        <v>-123</v>
      </c>
      <c r="G28" s="97">
        <f>SUBTOTAL(109,MarketingVariances[May])</f>
        <v>113</v>
      </c>
      <c r="H28" s="97">
        <f>SUBTOTAL(109,MarketingVariances[Jun])</f>
        <v>-825</v>
      </c>
      <c r="I28" s="97">
        <f>SUBTOTAL(109,MarketingVariances[Jul])</f>
        <v>8100</v>
      </c>
      <c r="J28" s="97">
        <f>SUBTOTAL(109,MarketingVariances[Aug])</f>
        <v>6100</v>
      </c>
      <c r="K28" s="97">
        <f>SUBTOTAL(109,MarketingVariances[Sep])</f>
        <v>3100</v>
      </c>
      <c r="L28" s="97">
        <f>SUBTOTAL(109,MarketingVariances[Oct])</f>
        <v>8100</v>
      </c>
      <c r="M28" s="97">
        <f>SUBTOTAL(109,MarketingVariances[Nov])</f>
        <v>3100</v>
      </c>
      <c r="N28" s="97">
        <f>SUBTOTAL(109,MarketingVariances[Dec])</f>
        <v>6900</v>
      </c>
      <c r="O28" s="101">
        <f>SUBTOTAL(109,MarketingVariances[YEAR])</f>
        <v>34641</v>
      </c>
    </row>
    <row r="29" spans="1:15" ht="21" customHeight="1" x14ac:dyDescent="0.3">
      <c r="A29" s="45"/>
      <c r="B29" s="125"/>
      <c r="C29" s="125"/>
      <c r="D29" s="5"/>
      <c r="E29" s="5"/>
      <c r="F29" s="5"/>
      <c r="G29" s="5"/>
      <c r="H29" s="5"/>
      <c r="I29" s="5"/>
      <c r="J29" s="5"/>
      <c r="K29" s="5"/>
      <c r="L29" s="5"/>
      <c r="M29" s="5"/>
      <c r="N29" s="5"/>
      <c r="O29" s="4"/>
    </row>
    <row r="30" spans="1:15" ht="24.95" customHeight="1" thickBot="1" x14ac:dyDescent="0.35">
      <c r="A30" s="45" t="s">
        <v>101</v>
      </c>
      <c r="B30" s="84" t="s">
        <v>35</v>
      </c>
      <c r="C30" s="64" t="s">
        <v>2</v>
      </c>
      <c r="D30" s="64" t="s">
        <v>3</v>
      </c>
      <c r="E30" s="65" t="s">
        <v>4</v>
      </c>
      <c r="F30" s="64" t="s">
        <v>5</v>
      </c>
      <c r="G30" s="64" t="s">
        <v>6</v>
      </c>
      <c r="H30" s="64" t="s">
        <v>7</v>
      </c>
      <c r="I30" s="64" t="s">
        <v>8</v>
      </c>
      <c r="J30" s="64" t="s">
        <v>9</v>
      </c>
      <c r="K30" s="64" t="s">
        <v>10</v>
      </c>
      <c r="L30" s="64" t="s">
        <v>11</v>
      </c>
      <c r="M30" s="64" t="s">
        <v>12</v>
      </c>
      <c r="N30" s="64" t="s">
        <v>13</v>
      </c>
      <c r="O30" s="66" t="s">
        <v>14</v>
      </c>
    </row>
    <row r="31" spans="1:15" ht="24.95" customHeight="1" thickBot="1" x14ac:dyDescent="0.35">
      <c r="A31" s="45"/>
      <c r="B31" s="95" t="s">
        <v>36</v>
      </c>
      <c r="C31" s="81">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400</v>
      </c>
      <c r="D31" s="81">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-400</v>
      </c>
      <c r="E31" s="81">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1" s="81">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400</v>
      </c>
      <c r="G31" s="81">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800</v>
      </c>
      <c r="H31" s="81">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-800</v>
      </c>
      <c r="I31" s="81">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1" s="81">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1" s="81">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1" s="81">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1" s="81">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1" s="81">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1" s="87">
        <f>SUM(TrainingAndTravelVariances[[#This Row],[Jan]:[Dec]])</f>
        <v>13000</v>
      </c>
    </row>
    <row r="32" spans="1:15" ht="24.95" customHeight="1" thickBot="1" x14ac:dyDescent="0.35">
      <c r="A32" s="45"/>
      <c r="B32" s="95" t="s">
        <v>37</v>
      </c>
      <c r="C32" s="81">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800</v>
      </c>
      <c r="D32" s="81">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-200</v>
      </c>
      <c r="E32" s="81">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2" s="81">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800</v>
      </c>
      <c r="G32" s="81">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1200</v>
      </c>
      <c r="H32" s="81">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-1500</v>
      </c>
      <c r="I32" s="81">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2" s="81">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2" s="81">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2" s="81">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2" s="81">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2" s="81">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2" s="87">
        <f>SUM(TrainingAndTravelVariances[[#This Row],[Jan]:[Dec]])</f>
        <v>13700</v>
      </c>
    </row>
    <row r="33" spans="1:15" ht="24.95" customHeight="1" x14ac:dyDescent="0.3">
      <c r="A33" s="45"/>
      <c r="B33" s="116" t="s">
        <v>18</v>
      </c>
      <c r="C33" s="97">
        <f>SUBTOTAL(109,TrainingAndTravelVariances[Jan])</f>
        <v>1200</v>
      </c>
      <c r="D33" s="97">
        <f>SUBTOTAL(109,TrainingAndTravelVariances[Feb])</f>
        <v>-600</v>
      </c>
      <c r="E33" s="97">
        <f>SUBTOTAL(109,TrainingAndTravelVariances[Mar])</f>
        <v>1200</v>
      </c>
      <c r="F33" s="97">
        <f>SUBTOTAL(109,TrainingAndTravelVariances[Apr])</f>
        <v>1200</v>
      </c>
      <c r="G33" s="97">
        <f>SUBTOTAL(109,TrainingAndTravelVariances[May])</f>
        <v>2000</v>
      </c>
      <c r="H33" s="97">
        <f>SUBTOTAL(109,TrainingAndTravelVariances[Jun])</f>
        <v>-2300</v>
      </c>
      <c r="I33" s="97">
        <f>SUBTOTAL(109,TrainingAndTravelVariances[Jul])</f>
        <v>4000</v>
      </c>
      <c r="J33" s="97">
        <f>SUBTOTAL(109,TrainingAndTravelVariances[Aug])</f>
        <v>4000</v>
      </c>
      <c r="K33" s="97">
        <f>SUBTOTAL(109,TrainingAndTravelVariances[Sep])</f>
        <v>4000</v>
      </c>
      <c r="L33" s="97">
        <f>SUBTOTAL(109,TrainingAndTravelVariances[Oct])</f>
        <v>4000</v>
      </c>
      <c r="M33" s="97">
        <f>SUBTOTAL(109,TrainingAndTravelVariances[Nov])</f>
        <v>4000</v>
      </c>
      <c r="N33" s="97">
        <f>SUBTOTAL(109,TrainingAndTravelVariances[Dec])</f>
        <v>4000</v>
      </c>
      <c r="O33" s="101">
        <f>SUBTOTAL(109,TrainingAndTravelVariances[YEAR])</f>
        <v>26700</v>
      </c>
    </row>
    <row r="34" spans="1:15" ht="21" customHeight="1" x14ac:dyDescent="0.3">
      <c r="A34" s="45"/>
      <c r="B34" s="125"/>
      <c r="C34" s="125"/>
      <c r="D34" s="4"/>
      <c r="E34" s="4"/>
      <c r="F34" s="4"/>
      <c r="G34" s="4"/>
      <c r="H34" s="4"/>
      <c r="I34" s="4"/>
      <c r="J34" s="4"/>
      <c r="K34" s="4"/>
      <c r="L34" s="4"/>
      <c r="M34" s="4"/>
      <c r="N34" s="4"/>
      <c r="O34" s="4"/>
    </row>
    <row r="35" spans="1:15" ht="24.95" customHeight="1" thickBot="1" x14ac:dyDescent="0.35">
      <c r="A35" s="54" t="s">
        <v>102</v>
      </c>
      <c r="B35" s="17" t="s">
        <v>38</v>
      </c>
      <c r="C35" s="40" t="s">
        <v>2</v>
      </c>
      <c r="D35" s="40" t="s">
        <v>3</v>
      </c>
      <c r="E35" s="40" t="s">
        <v>4</v>
      </c>
      <c r="F35" s="40" t="s">
        <v>5</v>
      </c>
      <c r="G35" s="40" t="s">
        <v>6</v>
      </c>
      <c r="H35" s="40" t="s">
        <v>7</v>
      </c>
      <c r="I35" s="40" t="s">
        <v>8</v>
      </c>
      <c r="J35" s="40" t="s">
        <v>9</v>
      </c>
      <c r="K35" s="40" t="s">
        <v>10</v>
      </c>
      <c r="L35" s="40" t="s">
        <v>11</v>
      </c>
      <c r="M35" s="40" t="s">
        <v>12</v>
      </c>
      <c r="N35" s="40" t="s">
        <v>13</v>
      </c>
      <c r="O35" s="40" t="s">
        <v>65</v>
      </c>
    </row>
    <row r="36" spans="1:15" ht="24.95" customHeight="1" thickBot="1" x14ac:dyDescent="0.35">
      <c r="A36" s="45"/>
      <c r="B36" s="18" t="s">
        <v>42</v>
      </c>
      <c r="C36" s="21">
        <f>TrainingAndTravelVariances[[#Totals],[Jan]]+MarketingVariances[[#Totals],[Jan]]+OfficeVariances[[#Totals],[Jan]]+EmployeeVariances[[#Totals],[Jan]]</f>
        <v>1738</v>
      </c>
      <c r="D36" s="21">
        <f>TrainingAndTravelVariances[[#Totals],[Feb]]+MarketingVariances[[#Totals],[Feb]]+OfficeVariances[[#Totals],[Feb]]+EmployeeVariances[[#Totals],[Feb]]</f>
        <v>-984</v>
      </c>
      <c r="E36" s="21">
        <f>TrainingAndTravelVariances[[#Totals],[Mar]]+MarketingVariances[[#Totals],[Mar]]+OfficeVariances[[#Totals],[Mar]]+EmployeeVariances[[#Totals],[Mar]]</f>
        <v>1255</v>
      </c>
      <c r="F36" s="21">
        <f>TrainingAndTravelVariances[[#Totals],[Apr]]+MarketingVariances[[#Totals],[Apr]]+OfficeVariances[[#Totals],[Apr]]+EmployeeVariances[[#Totals],[Apr]]</f>
        <v>301</v>
      </c>
      <c r="G36" s="21">
        <f>TrainingAndTravelVariances[[#Totals],[May]]+MarketingVariances[[#Totals],[May]]+OfficeVariances[[#Totals],[May]]+EmployeeVariances[[#Totals],[May]]</f>
        <v>1440</v>
      </c>
      <c r="H36" s="21">
        <f>TrainingAndTravelVariances[[#Totals],[Jun]]+MarketingVariances[[#Totals],[Jun]]+OfficeVariances[[#Totals],[Jun]]+EmployeeVariances[[#Totals],[Jun]]</f>
        <v>-3744</v>
      </c>
      <c r="I36" s="21">
        <f>TrainingAndTravelVariances[[#Totals],[Jul]]+MarketingVariances[[#Totals],[Jul]]+OfficeVariances[[#Totals],[Jul]]+EmployeeVariances[[#Totals],[Jul]]</f>
        <v>134695</v>
      </c>
      <c r="J36" s="21">
        <f>TrainingAndTravelVariances[[#Totals],[Aug]]+MarketingVariances[[#Totals],[Aug]]+OfficeVariances[[#Totals],[Aug]]+EmployeeVariances[[#Totals],[Aug]]</f>
        <v>138918</v>
      </c>
      <c r="K36" s="21">
        <f>TrainingAndTravelVariances[[#Totals],[Sep]]+MarketingVariances[[#Totals],[Sep]]+OfficeVariances[[#Totals],[Sep]]+EmployeeVariances[[#Totals],[Sep]]</f>
        <v>135918</v>
      </c>
      <c r="L36" s="21">
        <f>TrainingAndTravelVariances[[#Totals],[Oct]]+MarketingVariances[[#Totals],[Oct]]+OfficeVariances[[#Totals],[Oct]]+EmployeeVariances[[#Totals],[Oct]]</f>
        <v>140918</v>
      </c>
      <c r="M36" s="21">
        <f>TrainingAndTravelVariances[[#Totals],[Nov]]+MarketingVariances[[#Totals],[Nov]]+OfficeVariances[[#Totals],[Nov]]+EmployeeVariances[[#Totals],[Nov]]</f>
        <v>136218</v>
      </c>
      <c r="N36" s="21">
        <f>TrainingAndTravelVariances[[#Totals],[Dec]]+MarketingVariances[[#Totals],[Dec]]+OfficeVariances[[#Totals],[Dec]]+EmployeeVariances[[#Totals],[Dec]]</f>
        <v>140018</v>
      </c>
      <c r="O36" s="21">
        <f>TrainingAndTravelVariances[[#Totals],[YEAR]]+MarketingVariances[[#Totals],[YEAR]]+OfficeVariances[[#Totals],[YEAR]]+EmployeeVariances[[#Totals],[YEAR]]</f>
        <v>826691</v>
      </c>
    </row>
    <row r="37" spans="1:15" ht="24.95" customHeight="1" thickBot="1" x14ac:dyDescent="0.35">
      <c r="A37" s="45"/>
      <c r="B37" s="18" t="s">
        <v>43</v>
      </c>
      <c r="C37" s="41">
        <f>SUM($C$36:C36)</f>
        <v>1738</v>
      </c>
      <c r="D37" s="41">
        <f>SUM($C$36:D36)</f>
        <v>754</v>
      </c>
      <c r="E37" s="41">
        <f>SUM($C$36:E36)</f>
        <v>2009</v>
      </c>
      <c r="F37" s="41">
        <f>SUM($C$36:F36)</f>
        <v>2310</v>
      </c>
      <c r="G37" s="41">
        <f>SUM($C$36:G36)</f>
        <v>3750</v>
      </c>
      <c r="H37" s="41">
        <f>SUM($C$36:H36)</f>
        <v>6</v>
      </c>
      <c r="I37" s="41">
        <f>SUM($C$36:I36)</f>
        <v>134701</v>
      </c>
      <c r="J37" s="41">
        <f>SUM($C$36:J36)</f>
        <v>273619</v>
      </c>
      <c r="K37" s="41">
        <f>SUM($C$36:K36)</f>
        <v>409537</v>
      </c>
      <c r="L37" s="41">
        <f>SUM($C$36:L36)</f>
        <v>550455</v>
      </c>
      <c r="M37" s="41">
        <f>SUM($C$36:M36)</f>
        <v>686673</v>
      </c>
      <c r="N37" s="41">
        <f>SUM($C$36:N36)</f>
        <v>826691</v>
      </c>
      <c r="O37" s="41"/>
    </row>
    <row r="38" spans="1:15" ht="21" customHeight="1" x14ac:dyDescent="0.3">
      <c r="A38" s="45"/>
      <c r="D38" s="19"/>
    </row>
  </sheetData>
  <mergeCells count="8">
    <mergeCell ref="N2:O3"/>
    <mergeCell ref="K2:M2"/>
    <mergeCell ref="K3:M3"/>
    <mergeCell ref="B34:C34"/>
    <mergeCell ref="B29:C29"/>
    <mergeCell ref="B20:C20"/>
    <mergeCell ref="B9:C9"/>
    <mergeCell ref="B2:D3"/>
  </mergeCells>
  <conditionalFormatting sqref="C6:O8">
    <cfRule type="cellIs" dxfId="135" priority="5" operator="lessThan">
      <formula>0</formula>
    </cfRule>
  </conditionalFormatting>
  <conditionalFormatting sqref="C11:O19">
    <cfRule type="cellIs" dxfId="134" priority="4" operator="lessThan">
      <formula>0</formula>
    </cfRule>
  </conditionalFormatting>
  <conditionalFormatting sqref="C22:O28">
    <cfRule type="cellIs" dxfId="133" priority="3" operator="lessThan">
      <formula>0</formula>
    </cfRule>
  </conditionalFormatting>
  <conditionalFormatting sqref="C31:O33">
    <cfRule type="cellIs" dxfId="132" priority="2" operator="lessThan">
      <formula>0</formula>
    </cfRule>
  </conditionalFormatting>
  <conditionalFormatting sqref="C36:O37">
    <cfRule type="cellIs" dxfId="131" priority="1" operator="lessThan">
      <formula>0</formula>
    </cfRule>
  </conditionalFormatting>
  <printOptions horizontalCentered="1"/>
  <pageMargins left="0.4" right="0.4" top="0.4" bottom="0.4" header="0.3" footer="0.3"/>
  <pageSetup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autoPageBreaks="0" fitToPage="1"/>
  </sheetPr>
  <dimension ref="A1:P39"/>
  <sheetViews>
    <sheetView showGridLines="0" zoomScaleNormal="100" workbookViewId="0"/>
  </sheetViews>
  <sheetFormatPr defaultColWidth="9.140625" defaultRowHeight="18.75" x14ac:dyDescent="0.3"/>
  <cols>
    <col min="1" max="1" width="4.7109375" style="50" customWidth="1"/>
    <col min="2" max="2" width="26.28515625" style="2" customWidth="1"/>
    <col min="3" max="3" width="23.28515625" style="2" customWidth="1"/>
    <col min="4" max="4" width="24.28515625" style="2" customWidth="1"/>
    <col min="5" max="5" width="23" style="2" customWidth="1"/>
    <col min="6" max="6" width="24.5703125" style="2" customWidth="1"/>
    <col min="7" max="7" width="4.7109375" style="1" customWidth="1"/>
    <col min="8" max="8" width="9" customWidth="1"/>
    <col min="9" max="16384" width="9.140625" style="2"/>
  </cols>
  <sheetData>
    <row r="1" spans="1:16" s="1" customFormat="1" ht="24" customHeight="1" x14ac:dyDescent="0.3">
      <c r="A1" s="47" t="s">
        <v>79</v>
      </c>
      <c r="B1" s="11"/>
      <c r="C1" s="11"/>
      <c r="D1" s="11"/>
      <c r="E1" s="8"/>
      <c r="F1" s="8"/>
      <c r="G1" s="94" t="s">
        <v>47</v>
      </c>
      <c r="I1"/>
      <c r="J1"/>
      <c r="K1"/>
      <c r="L1"/>
      <c r="M1"/>
      <c r="N1"/>
      <c r="O1"/>
      <c r="P1" t="s">
        <v>47</v>
      </c>
    </row>
    <row r="2" spans="1:16" s="1" customFormat="1" ht="45" customHeight="1" x14ac:dyDescent="0.35">
      <c r="A2" s="47" t="s">
        <v>104</v>
      </c>
      <c r="B2" s="127" t="str">
        <f>'PLANNED EXPENSES'!B2:D3</f>
        <v>Company Name</v>
      </c>
      <c r="C2" s="127"/>
      <c r="D2" s="127"/>
      <c r="E2" s="22"/>
      <c r="F2" s="133" t="s">
        <v>66</v>
      </c>
      <c r="G2" s="133"/>
      <c r="I2"/>
      <c r="J2"/>
      <c r="K2"/>
      <c r="L2"/>
      <c r="M2"/>
      <c r="N2"/>
      <c r="O2"/>
      <c r="P2"/>
    </row>
    <row r="3" spans="1:16" s="1" customFormat="1" ht="30" customHeight="1" x14ac:dyDescent="0.3">
      <c r="A3" s="47" t="s">
        <v>103</v>
      </c>
      <c r="B3" s="127"/>
      <c r="C3" s="127"/>
      <c r="D3" s="127"/>
      <c r="E3" s="132" t="str">
        <f>worksheet_title</f>
        <v>Detailed Expense Estimates</v>
      </c>
      <c r="F3" s="132"/>
      <c r="G3" s="132"/>
      <c r="I3"/>
      <c r="J3"/>
      <c r="K3"/>
      <c r="L3"/>
      <c r="M3"/>
      <c r="N3"/>
      <c r="O3"/>
      <c r="P3"/>
    </row>
    <row r="4" spans="1:16" customFormat="1" ht="18.75" customHeight="1" x14ac:dyDescent="0.2">
      <c r="A4" s="36"/>
    </row>
    <row r="5" spans="1:16" ht="24.95" customHeight="1" thickBot="1" x14ac:dyDescent="0.35">
      <c r="A5" s="48" t="s">
        <v>81</v>
      </c>
      <c r="B5" s="23" t="s">
        <v>45</v>
      </c>
      <c r="C5" s="24" t="s">
        <v>1</v>
      </c>
      <c r="D5" s="25" t="s">
        <v>41</v>
      </c>
      <c r="E5" s="23" t="s">
        <v>44</v>
      </c>
      <c r="F5" s="26" t="s">
        <v>46</v>
      </c>
      <c r="G5" s="14"/>
      <c r="I5"/>
      <c r="J5"/>
      <c r="K5"/>
      <c r="L5"/>
      <c r="M5"/>
      <c r="N5"/>
      <c r="O5"/>
      <c r="P5"/>
    </row>
    <row r="6" spans="1:16" ht="24.95" customHeight="1" thickBot="1" x14ac:dyDescent="0.35">
      <c r="A6" s="49"/>
      <c r="B6" s="117" t="s">
        <v>15</v>
      </c>
      <c r="C6" s="28">
        <f>EmployeePlan[[#Totals],[YEAR]]</f>
        <v>1355090</v>
      </c>
      <c r="D6" s="28">
        <f>EmployeeActual[[#Totals],[YEAR]]</f>
        <v>659130</v>
      </c>
      <c r="E6" s="28">
        <f>C6-D6</f>
        <v>695960</v>
      </c>
      <c r="F6" s="29">
        <f>E6/C6</f>
        <v>0.5135895032802249</v>
      </c>
    </row>
    <row r="7" spans="1:16" ht="24.95" customHeight="1" thickBot="1" x14ac:dyDescent="0.35">
      <c r="A7" s="48"/>
      <c r="B7" s="117" t="str">
        <f>'PLANNED EXPENSES'!B10</f>
        <v>Office Costs</v>
      </c>
      <c r="C7" s="28">
        <f>OfficePlan[[#Totals],[YEAR]]</f>
        <v>138740</v>
      </c>
      <c r="D7" s="28">
        <f>OfficeActual[[#Totals],[YEAR]]</f>
        <v>69350</v>
      </c>
      <c r="E7" s="28">
        <f>C7-D7</f>
        <v>69390</v>
      </c>
      <c r="F7" s="29">
        <f>E7/C7</f>
        <v>0.50014415453366012</v>
      </c>
    </row>
    <row r="8" spans="1:16" ht="24.95" customHeight="1" thickBot="1" x14ac:dyDescent="0.35">
      <c r="A8" s="48"/>
      <c r="B8" s="27" t="str">
        <f>'PLANNED EXPENSES'!B21</f>
        <v>Marketing Costs</v>
      </c>
      <c r="C8" s="28">
        <f>MarketingPlan[[#Totals],[YEAR]]</f>
        <v>67800</v>
      </c>
      <c r="D8" s="28">
        <f>MarketingActual[[#Totals],[YEAR]]</f>
        <v>33159</v>
      </c>
      <c r="E8" s="28">
        <f>C8-D8</f>
        <v>34641</v>
      </c>
      <c r="F8" s="29">
        <f>E8/C8</f>
        <v>0.51092920353982296</v>
      </c>
    </row>
    <row r="9" spans="1:16" ht="24.95" customHeight="1" thickBot="1" x14ac:dyDescent="0.35">
      <c r="A9" s="48"/>
      <c r="B9" s="27" t="str">
        <f>'PLANNED EXPENSES'!B30</f>
        <v>Training/Travel</v>
      </c>
      <c r="C9" s="28">
        <f>TrainingAndTravelPlan[[#Totals],[YEAR]]</f>
        <v>48000</v>
      </c>
      <c r="D9" s="28">
        <f>TrainingAndTravelActual[[#Totals],[YEAR]]</f>
        <v>21300</v>
      </c>
      <c r="E9" s="28">
        <f>C9-D9</f>
        <v>26700</v>
      </c>
      <c r="F9" s="29">
        <f>E9/C9</f>
        <v>0.55625000000000002</v>
      </c>
    </row>
    <row r="10" spans="1:16" ht="24.95" customHeight="1" x14ac:dyDescent="0.3">
      <c r="A10" s="48"/>
      <c r="B10" s="51" t="str">
        <f>'PLANNED EXPENSES'!B35</f>
        <v>TOTALS</v>
      </c>
      <c r="C10" s="52">
        <f>'PLANNED EXPENSES'!O36</f>
        <v>1609630</v>
      </c>
      <c r="D10" s="52">
        <f>'ACTUAL EXPENSES'!O36</f>
        <v>782939</v>
      </c>
      <c r="E10" s="52">
        <f>C10-D10</f>
        <v>826691</v>
      </c>
      <c r="F10" s="53">
        <f>E10/C10</f>
        <v>0.51359070096854553</v>
      </c>
    </row>
    <row r="11" spans="1:16" x14ac:dyDescent="0.3">
      <c r="A11" s="48"/>
      <c r="B11" s="119"/>
      <c r="C11" s="6"/>
      <c r="D11" s="6"/>
      <c r="E11" s="6"/>
      <c r="F11" s="7"/>
    </row>
    <row r="12" spans="1:16" ht="300" customHeight="1" x14ac:dyDescent="0.3">
      <c r="A12" s="48" t="s">
        <v>105</v>
      </c>
      <c r="B12" s="134" t="s">
        <v>80</v>
      </c>
      <c r="C12" s="134"/>
      <c r="D12" s="134"/>
      <c r="E12" s="134"/>
      <c r="F12" s="134"/>
      <c r="G12"/>
    </row>
    <row r="13" spans="1:16" ht="18.75" customHeight="1" x14ac:dyDescent="0.3">
      <c r="A13" s="48"/>
      <c r="B13" s="120"/>
    </row>
    <row r="14" spans="1:16" ht="409.5" x14ac:dyDescent="0.3">
      <c r="A14" s="48" t="s">
        <v>106</v>
      </c>
      <c r="B14" s="130"/>
      <c r="C14" s="126"/>
      <c r="D14" s="126"/>
      <c r="E14" s="126"/>
      <c r="F14" s="126"/>
    </row>
    <row r="15" spans="1:16" x14ac:dyDescent="0.3">
      <c r="A15" s="48"/>
      <c r="B15" s="130"/>
      <c r="C15" s="126"/>
      <c r="D15" s="126"/>
      <c r="E15" s="126"/>
      <c r="F15" s="126"/>
    </row>
    <row r="16" spans="1:16" x14ac:dyDescent="0.3">
      <c r="A16" s="48"/>
      <c r="B16" s="130"/>
      <c r="C16" s="126"/>
      <c r="D16" s="126"/>
      <c r="E16" s="126"/>
      <c r="F16" s="126"/>
    </row>
    <row r="17" spans="1:6" x14ac:dyDescent="0.3">
      <c r="A17" s="48"/>
      <c r="B17" s="130"/>
      <c r="C17" s="126"/>
      <c r="D17" s="126"/>
      <c r="E17" s="126"/>
      <c r="F17" s="126"/>
    </row>
    <row r="18" spans="1:6" x14ac:dyDescent="0.3">
      <c r="A18" s="48"/>
      <c r="B18" s="130"/>
      <c r="C18" s="126"/>
      <c r="D18" s="126"/>
      <c r="E18" s="126"/>
      <c r="F18" s="126"/>
    </row>
    <row r="19" spans="1:6" x14ac:dyDescent="0.3">
      <c r="A19" s="48"/>
      <c r="B19" s="126"/>
      <c r="C19" s="126"/>
      <c r="D19" s="126"/>
      <c r="E19" s="126"/>
      <c r="F19" s="126"/>
    </row>
    <row r="20" spans="1:6" x14ac:dyDescent="0.3">
      <c r="A20" s="48"/>
      <c r="B20" s="126"/>
      <c r="C20" s="126"/>
      <c r="D20" s="126"/>
      <c r="E20" s="126"/>
      <c r="F20" s="126"/>
    </row>
    <row r="21" spans="1:6" x14ac:dyDescent="0.3">
      <c r="A21" s="48"/>
      <c r="B21" s="126"/>
      <c r="C21" s="126"/>
      <c r="D21" s="126"/>
      <c r="E21" s="126"/>
      <c r="F21" s="126"/>
    </row>
    <row r="22" spans="1:6" x14ac:dyDescent="0.3">
      <c r="A22" s="48"/>
      <c r="B22" s="130"/>
      <c r="C22" s="126"/>
      <c r="D22" s="126"/>
      <c r="E22" s="126"/>
      <c r="F22" s="126"/>
    </row>
    <row r="23" spans="1:6" x14ac:dyDescent="0.3">
      <c r="A23" s="48"/>
      <c r="B23" s="130"/>
      <c r="C23" s="126"/>
      <c r="D23" s="126"/>
      <c r="E23" s="126"/>
      <c r="F23" s="126"/>
    </row>
    <row r="24" spans="1:6" x14ac:dyDescent="0.3">
      <c r="A24" s="48"/>
      <c r="B24" s="130"/>
      <c r="C24" s="126"/>
      <c r="D24" s="126"/>
      <c r="E24" s="126"/>
      <c r="F24" s="126"/>
    </row>
    <row r="25" spans="1:6" x14ac:dyDescent="0.3">
      <c r="A25" s="48"/>
      <c r="B25" s="130"/>
      <c r="C25" s="126"/>
      <c r="D25" s="126"/>
      <c r="E25" s="126"/>
      <c r="F25" s="126"/>
    </row>
    <row r="26" spans="1:6" x14ac:dyDescent="0.3">
      <c r="A26" s="48"/>
      <c r="B26" s="130"/>
      <c r="C26" s="126"/>
      <c r="D26" s="126"/>
      <c r="E26" s="126"/>
      <c r="F26" s="126"/>
    </row>
    <row r="27" spans="1:6" x14ac:dyDescent="0.3">
      <c r="A27" s="48"/>
      <c r="B27" s="130"/>
      <c r="C27" s="126"/>
      <c r="D27" s="126"/>
      <c r="E27" s="126"/>
      <c r="F27" s="126"/>
    </row>
    <row r="28" spans="1:6" x14ac:dyDescent="0.3">
      <c r="A28" s="48"/>
      <c r="B28" s="126"/>
      <c r="C28" s="126"/>
      <c r="D28" s="126"/>
      <c r="E28" s="126"/>
      <c r="F28" s="126"/>
    </row>
    <row r="29" spans="1:6" x14ac:dyDescent="0.3">
      <c r="A29" s="48"/>
      <c r="B29" s="126"/>
      <c r="C29" s="126"/>
      <c r="D29" s="126"/>
      <c r="E29" s="126"/>
      <c r="F29" s="126"/>
    </row>
    <row r="30" spans="1:6" x14ac:dyDescent="0.3">
      <c r="A30" s="48"/>
      <c r="B30" s="126"/>
      <c r="C30" s="126"/>
      <c r="D30" s="126"/>
      <c r="E30" s="126"/>
      <c r="F30" s="126"/>
    </row>
    <row r="31" spans="1:6" x14ac:dyDescent="0.3">
      <c r="A31" s="48"/>
      <c r="B31" s="130"/>
      <c r="C31" s="126"/>
      <c r="D31" s="126"/>
      <c r="E31" s="126"/>
      <c r="F31" s="126"/>
    </row>
    <row r="32" spans="1:6" x14ac:dyDescent="0.3">
      <c r="A32" s="48"/>
      <c r="B32" s="130"/>
      <c r="C32" s="126"/>
      <c r="D32" s="126"/>
      <c r="E32" s="126"/>
      <c r="F32" s="126"/>
    </row>
    <row r="33" spans="1:6" x14ac:dyDescent="0.3">
      <c r="A33" s="48"/>
      <c r="B33" s="126"/>
      <c r="C33" s="126"/>
      <c r="D33" s="126"/>
      <c r="E33" s="126"/>
      <c r="F33" s="126"/>
    </row>
    <row r="34" spans="1:6" x14ac:dyDescent="0.3">
      <c r="A34" s="48"/>
      <c r="B34" s="126"/>
      <c r="C34" s="126"/>
      <c r="D34" s="126"/>
      <c r="E34" s="126"/>
      <c r="F34" s="126"/>
    </row>
    <row r="35" spans="1:6" x14ac:dyDescent="0.3">
      <c r="A35" s="48"/>
      <c r="B35" s="126"/>
      <c r="C35" s="126"/>
      <c r="D35" s="126"/>
      <c r="E35" s="126"/>
      <c r="F35" s="126"/>
    </row>
    <row r="36" spans="1:6" x14ac:dyDescent="0.3">
      <c r="A36" s="48"/>
      <c r="B36" s="131"/>
      <c r="C36" s="126"/>
      <c r="D36" s="126"/>
      <c r="E36" s="126"/>
      <c r="F36" s="126"/>
    </row>
    <row r="37" spans="1:6" x14ac:dyDescent="0.3">
      <c r="A37" s="48"/>
      <c r="B37" s="131"/>
      <c r="C37" s="126"/>
      <c r="D37" s="126"/>
      <c r="E37" s="126"/>
      <c r="F37" s="126"/>
    </row>
    <row r="38" spans="1:6" x14ac:dyDescent="0.3">
      <c r="A38" s="48"/>
    </row>
    <row r="39" spans="1:6" x14ac:dyDescent="0.3">
      <c r="A39" s="48"/>
    </row>
  </sheetData>
  <mergeCells count="5">
    <mergeCell ref="B14:F37"/>
    <mergeCell ref="B2:D3"/>
    <mergeCell ref="E3:G3"/>
    <mergeCell ref="F2:G2"/>
    <mergeCell ref="B12:F12"/>
  </mergeCells>
  <printOptions horizontalCentered="1"/>
  <pageMargins left="0.4" right="0.4" top="0.4" bottom="0.4" header="0.3" footer="0.3"/>
  <pageSetup scale="85" orientation="portrait" r:id="rId1"/>
  <ignoredErrors>
    <ignoredError sqref="B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8A7342-5213-4101-B852-19C31767E3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6E45EF76-3279-452A-98D4-4610898E5251}">
  <ds:schemaRefs>
    <ds:schemaRef ds:uri="http://schemas.microsoft.com/sharepoint/v3/contenttype/forms"/>
  </ds:schemaRefs>
</ds:datastoreItem>
</file>

<file path=customXml/itemProps3.xml><?xml version="1.0" encoding="utf-8"?>
<ds:datastoreItem xmlns:ds="http://schemas.openxmlformats.org/officeDocument/2006/customXml" ds:itemID="{6C9899EC-34DA-4971-9790-4F0B0FA63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vt:lpstr>
      <vt:lpstr>PLANNED EXPENSES</vt:lpstr>
      <vt:lpstr>ACTUAL EXPENSES</vt:lpstr>
      <vt:lpstr>EXPENSE VARIANCES</vt:lpstr>
      <vt:lpstr>EXPENSE ANALYSIS</vt:lpstr>
      <vt:lpstr>worksheet_title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2019-07-07T23:00:41Z</dcterms:created>
  <dcterms:modified xsi:type="dcterms:W3CDTF">2020-10-21T11:57:27Z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